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rja-931500-n47\sor 22-23\schedule for RDSS\"/>
    </mc:Choice>
  </mc:AlternateContent>
  <bookViews>
    <workbookView xWindow="0" yWindow="0" windowWidth="20490" windowHeight="7650"/>
  </bookViews>
  <sheets>
    <sheet name="A-6" sheetId="11" r:id="rId1"/>
    <sheet name="A-1" sheetId="1" r:id="rId2"/>
    <sheet name="A-3" sheetId="8" r:id="rId3"/>
    <sheet name="A-3 (A)" sheetId="2" r:id="rId4"/>
    <sheet name="A-4" sheetId="9" r:id="rId5"/>
    <sheet name="A-11" sheetId="10" r:id="rId6"/>
    <sheet name="B-1" sheetId="3" r:id="rId7"/>
    <sheet name="B-3" sheetId="4" r:id="rId8"/>
    <sheet name="B-4" sheetId="6" r:id="rId9"/>
    <sheet name="B-5" sheetId="7" r:id="rId10"/>
    <sheet name="B-8" sheetId="5" r:id="rId11"/>
  </sheets>
  <definedNames>
    <definedName name="_xlnm._FilterDatabase" localSheetId="2" hidden="1">'A-3'!$G$1:$G$6</definedName>
    <definedName name="_xlnm.Print_Titles" localSheetId="1">'A-1'!$6:$8</definedName>
    <definedName name="_xlnm.Print_Titles" localSheetId="5">'A-11'!$7:$9</definedName>
    <definedName name="_xlnm.Print_Titles" localSheetId="2">'A-3'!$6:$8</definedName>
    <definedName name="_xlnm.Print_Titles" localSheetId="3">'A-3 (A)'!$5:$6</definedName>
    <definedName name="_xlnm.Print_Titles" localSheetId="4">'A-4'!$6:$8</definedName>
    <definedName name="_xlnm.Print_Titles" localSheetId="0">'A-6'!$5:$7</definedName>
    <definedName name="_xlnm.Print_Titles" localSheetId="6">'B-1'!$6:$9</definedName>
    <definedName name="_xlnm.Print_Titles" localSheetId="7">'B-3'!$5:$7</definedName>
    <definedName name="_xlnm.Print_Titles" localSheetId="8">'B-4'!$8:$10</definedName>
    <definedName name="_xlnm.Print_Titles" localSheetId="9">'B-5'!$6:$7</definedName>
    <definedName name="_xlnm.Print_Titles" localSheetId="10">'B-8'!$7:$9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1" l="1"/>
  <c r="G28" i="11"/>
  <c r="E28" i="11"/>
  <c r="H27" i="11"/>
  <c r="H26" i="11"/>
  <c r="G26" i="11"/>
  <c r="E26" i="11"/>
  <c r="H21" i="11"/>
  <c r="F21" i="11"/>
  <c r="G21" i="11" s="1"/>
  <c r="H20" i="11"/>
  <c r="G20" i="11"/>
  <c r="H19" i="11"/>
  <c r="G19" i="11"/>
  <c r="H18" i="11"/>
  <c r="G18" i="11"/>
  <c r="F17" i="11"/>
  <c r="H17" i="11" s="1"/>
  <c r="H16" i="11"/>
  <c r="F16" i="11"/>
  <c r="G16" i="11" s="1"/>
  <c r="H15" i="11"/>
  <c r="G15" i="11"/>
  <c r="H14" i="11"/>
  <c r="G14" i="11"/>
  <c r="H13" i="11"/>
  <c r="G13" i="11"/>
  <c r="H12" i="11"/>
  <c r="G12" i="11"/>
  <c r="H11" i="11"/>
  <c r="G11" i="11"/>
  <c r="H10" i="11"/>
  <c r="G10" i="11"/>
  <c r="H9" i="11"/>
  <c r="G9" i="11"/>
  <c r="H8" i="11"/>
  <c r="H23" i="11" s="1"/>
  <c r="G8" i="11"/>
  <c r="H24" i="11" l="1"/>
  <c r="H25" i="11"/>
  <c r="G23" i="11"/>
  <c r="G17" i="11"/>
  <c r="G24" i="11" l="1"/>
  <c r="G25" i="11"/>
  <c r="H31" i="11"/>
  <c r="H29" i="11"/>
  <c r="H30" i="11" s="1"/>
  <c r="G29" i="11" l="1"/>
  <c r="G30" i="11" s="1"/>
  <c r="H33" i="11"/>
  <c r="H36" i="11" s="1"/>
  <c r="H37" i="11" s="1"/>
  <c r="H32" i="11"/>
  <c r="G31" i="11" l="1"/>
  <c r="G34" i="11" l="1"/>
  <c r="G32" i="11"/>
  <c r="G33" i="11"/>
  <c r="G36" i="11"/>
  <c r="G37" i="11" s="1"/>
  <c r="H75" i="10" l="1"/>
  <c r="G75" i="10"/>
  <c r="G31" i="10"/>
  <c r="E31" i="10"/>
  <c r="H31" i="10" s="1"/>
  <c r="H26" i="10"/>
  <c r="G26" i="10"/>
  <c r="H25" i="10"/>
  <c r="G25" i="10"/>
  <c r="H24" i="10"/>
  <c r="G24" i="10"/>
  <c r="H23" i="10"/>
  <c r="G23" i="10"/>
  <c r="H22" i="10"/>
  <c r="G22" i="10"/>
  <c r="H21" i="10"/>
  <c r="G21" i="10"/>
  <c r="H20" i="10"/>
  <c r="G20" i="10"/>
  <c r="H19" i="10"/>
  <c r="G19" i="10"/>
  <c r="H18" i="10"/>
  <c r="G18" i="10"/>
  <c r="H17" i="10"/>
  <c r="G17" i="10"/>
  <c r="H16" i="10"/>
  <c r="G16" i="10"/>
  <c r="H15" i="10"/>
  <c r="G14" i="10"/>
  <c r="H13" i="10"/>
  <c r="G12" i="10"/>
  <c r="H11" i="10"/>
  <c r="H28" i="10" s="1"/>
  <c r="G10" i="10"/>
  <c r="G28" i="10" s="1"/>
  <c r="G48" i="9"/>
  <c r="F48" i="9"/>
  <c r="G44" i="9"/>
  <c r="G43" i="9"/>
  <c r="G42" i="9"/>
  <c r="G41" i="9"/>
  <c r="G40" i="9"/>
  <c r="F39" i="9"/>
  <c r="G39" i="9" s="1"/>
  <c r="G38" i="9"/>
  <c r="G37" i="9"/>
  <c r="G36" i="9"/>
  <c r="G34" i="9"/>
  <c r="G33" i="9"/>
  <c r="G32" i="9"/>
  <c r="G30" i="9"/>
  <c r="G28" i="9"/>
  <c r="G27" i="9"/>
  <c r="G26" i="9"/>
  <c r="E25" i="9"/>
  <c r="G24" i="9"/>
  <c r="G23" i="9"/>
  <c r="G22" i="9"/>
  <c r="G21" i="9"/>
  <c r="G20" i="9"/>
  <c r="G19" i="9"/>
  <c r="E19" i="9"/>
  <c r="G18" i="9"/>
  <c r="G17" i="9"/>
  <c r="G16" i="9"/>
  <c r="G15" i="9"/>
  <c r="G14" i="9"/>
  <c r="G13" i="9"/>
  <c r="G12" i="9"/>
  <c r="G11" i="9"/>
  <c r="G10" i="9"/>
  <c r="G9" i="9"/>
  <c r="G45" i="9" s="1"/>
  <c r="F51" i="8"/>
  <c r="G51" i="8" s="1"/>
  <c r="M50" i="8"/>
  <c r="L50" i="8"/>
  <c r="K50" i="8"/>
  <c r="I50" i="8"/>
  <c r="J50" i="8" s="1"/>
  <c r="H50" i="8"/>
  <c r="F50" i="8"/>
  <c r="G50" i="8" s="1"/>
  <c r="E50" i="8"/>
  <c r="F46" i="8"/>
  <c r="I46" i="8" s="1"/>
  <c r="J46" i="8" s="1"/>
  <c r="I45" i="8"/>
  <c r="J45" i="8" s="1"/>
  <c r="G45" i="8"/>
  <c r="F45" i="8"/>
  <c r="L45" i="8" s="1"/>
  <c r="M45" i="8" s="1"/>
  <c r="F44" i="8"/>
  <c r="I44" i="8" s="1"/>
  <c r="J44" i="8" s="1"/>
  <c r="M43" i="8"/>
  <c r="L43" i="8"/>
  <c r="I43" i="8"/>
  <c r="J43" i="8" s="1"/>
  <c r="G43" i="8"/>
  <c r="I42" i="8"/>
  <c r="J42" i="8" s="1"/>
  <c r="G42" i="8"/>
  <c r="F42" i="8"/>
  <c r="L42" i="8" s="1"/>
  <c r="M42" i="8" s="1"/>
  <c r="L41" i="8"/>
  <c r="M41" i="8" s="1"/>
  <c r="J41" i="8"/>
  <c r="I41" i="8"/>
  <c r="G41" i="8"/>
  <c r="M40" i="8"/>
  <c r="L40" i="8"/>
  <c r="I40" i="8"/>
  <c r="J40" i="8" s="1"/>
  <c r="G40" i="8"/>
  <c r="M39" i="8"/>
  <c r="L39" i="8"/>
  <c r="I39" i="8"/>
  <c r="J39" i="8" s="1"/>
  <c r="G39" i="8"/>
  <c r="L38" i="8"/>
  <c r="M38" i="8" s="1"/>
  <c r="J38" i="8"/>
  <c r="I38" i="8"/>
  <c r="G38" i="8"/>
  <c r="L36" i="8"/>
  <c r="M36" i="8" s="1"/>
  <c r="I36" i="8"/>
  <c r="G36" i="8"/>
  <c r="L35" i="8"/>
  <c r="I35" i="8"/>
  <c r="J35" i="8" s="1"/>
  <c r="M34" i="8"/>
  <c r="L34" i="8"/>
  <c r="I34" i="8"/>
  <c r="G34" i="8"/>
  <c r="L33" i="8"/>
  <c r="I33" i="8"/>
  <c r="J33" i="8" s="1"/>
  <c r="L32" i="8"/>
  <c r="J32" i="8"/>
  <c r="I32" i="8"/>
  <c r="L30" i="8"/>
  <c r="M30" i="8" s="1"/>
  <c r="J30" i="8"/>
  <c r="I30" i="8"/>
  <c r="G30" i="8"/>
  <c r="M29" i="8"/>
  <c r="L29" i="8"/>
  <c r="I29" i="8"/>
  <c r="J29" i="8" s="1"/>
  <c r="G29" i="8"/>
  <c r="M28" i="8"/>
  <c r="L28" i="8"/>
  <c r="I28" i="8"/>
  <c r="J28" i="8" s="1"/>
  <c r="G28" i="8"/>
  <c r="L27" i="8"/>
  <c r="M27" i="8" s="1"/>
  <c r="J27" i="8"/>
  <c r="I27" i="8"/>
  <c r="G27" i="8"/>
  <c r="L26" i="8"/>
  <c r="M26" i="8" s="1"/>
  <c r="J26" i="8"/>
  <c r="I26" i="8"/>
  <c r="G26" i="8"/>
  <c r="M25" i="8"/>
  <c r="L25" i="8"/>
  <c r="K25" i="8"/>
  <c r="I25" i="8"/>
  <c r="J25" i="8" s="1"/>
  <c r="H25" i="8"/>
  <c r="E25" i="8"/>
  <c r="G25" i="8" s="1"/>
  <c r="M24" i="8"/>
  <c r="L24" i="8"/>
  <c r="I24" i="8"/>
  <c r="J24" i="8" s="1"/>
  <c r="G24" i="8"/>
  <c r="J23" i="8"/>
  <c r="I23" i="8"/>
  <c r="L22" i="8"/>
  <c r="M22" i="8" s="1"/>
  <c r="G22" i="8"/>
  <c r="F22" i="8"/>
  <c r="L21" i="8"/>
  <c r="M21" i="8" s="1"/>
  <c r="J21" i="8"/>
  <c r="I21" i="8"/>
  <c r="G21" i="8"/>
  <c r="M20" i="8"/>
  <c r="L20" i="8"/>
  <c r="I20" i="8"/>
  <c r="J20" i="8" s="1"/>
  <c r="G20" i="8"/>
  <c r="M19" i="8"/>
  <c r="L19" i="8"/>
  <c r="I19" i="8"/>
  <c r="J19" i="8" s="1"/>
  <c r="G19" i="8"/>
  <c r="L18" i="8"/>
  <c r="M18" i="8" s="1"/>
  <c r="J18" i="8"/>
  <c r="I18" i="8"/>
  <c r="G18" i="8"/>
  <c r="L17" i="8"/>
  <c r="M17" i="8" s="1"/>
  <c r="J17" i="8"/>
  <c r="I17" i="8"/>
  <c r="G17" i="8"/>
  <c r="M16" i="8"/>
  <c r="L16" i="8"/>
  <c r="I16" i="8"/>
  <c r="J16" i="8" s="1"/>
  <c r="G16" i="8"/>
  <c r="J15" i="8"/>
  <c r="L14" i="8"/>
  <c r="M14" i="8" s="1"/>
  <c r="G14" i="8"/>
  <c r="M12" i="8"/>
  <c r="L12" i="8"/>
  <c r="I12" i="8"/>
  <c r="J12" i="8" s="1"/>
  <c r="G12" i="8"/>
  <c r="M11" i="8"/>
  <c r="J10" i="8"/>
  <c r="G9" i="8"/>
  <c r="G30" i="10" l="1"/>
  <c r="G29" i="10"/>
  <c r="H30" i="10"/>
  <c r="H29" i="10"/>
  <c r="G47" i="9"/>
  <c r="G46" i="9"/>
  <c r="M47" i="8"/>
  <c r="J47" i="8"/>
  <c r="I37" i="8"/>
  <c r="L44" i="8"/>
  <c r="M44" i="8" s="1"/>
  <c r="L37" i="8" s="1"/>
  <c r="L46" i="8"/>
  <c r="M46" i="8" s="1"/>
  <c r="G44" i="8"/>
  <c r="F37" i="8" s="1"/>
  <c r="G46" i="8"/>
  <c r="G33" i="10" l="1"/>
  <c r="G34" i="10" s="1"/>
  <c r="H33" i="10"/>
  <c r="H34" i="10" s="1"/>
  <c r="G50" i="9"/>
  <c r="G51" i="9" s="1"/>
  <c r="M49" i="8"/>
  <c r="M48" i="8"/>
  <c r="G47" i="8"/>
  <c r="J48" i="8"/>
  <c r="J49" i="8"/>
  <c r="H35" i="10" l="1"/>
  <c r="G35" i="10"/>
  <c r="G52" i="9"/>
  <c r="J53" i="8"/>
  <c r="J54" i="8" s="1"/>
  <c r="M55" i="8"/>
  <c r="M53" i="8"/>
  <c r="M54" i="8" s="1"/>
  <c r="G48" i="8"/>
  <c r="G49" i="8"/>
  <c r="G36" i="10" l="1"/>
  <c r="G39" i="10" s="1"/>
  <c r="G40" i="10" s="1"/>
  <c r="G37" i="10"/>
  <c r="H39" i="10"/>
  <c r="H40" i="10" s="1"/>
  <c r="H36" i="10"/>
  <c r="H37" i="10"/>
  <c r="G53" i="9"/>
  <c r="G54" i="9"/>
  <c r="G55" i="9" s="1"/>
  <c r="G56" i="9" s="1"/>
  <c r="M56" i="8"/>
  <c r="M58" i="8" s="1"/>
  <c r="M59" i="8" s="1"/>
  <c r="M57" i="8"/>
  <c r="J55" i="8"/>
  <c r="G53" i="8"/>
  <c r="G54" i="8" s="1"/>
  <c r="G55" i="8" s="1"/>
  <c r="G57" i="8" l="1"/>
  <c r="G56" i="8"/>
  <c r="G58" i="8" s="1"/>
  <c r="G59" i="8" s="1"/>
  <c r="J58" i="8"/>
  <c r="J59" i="8" s="1"/>
  <c r="J56" i="8"/>
  <c r="J57" i="8"/>
  <c r="F30" i="2" l="1"/>
  <c r="F53" i="6" l="1"/>
  <c r="F52" i="6"/>
  <c r="F48" i="6"/>
  <c r="E33" i="7"/>
  <c r="E31" i="7"/>
  <c r="E27" i="5"/>
  <c r="F106" i="4" l="1"/>
  <c r="F101" i="4"/>
  <c r="F100" i="4"/>
  <c r="F99" i="4"/>
  <c r="F98" i="4"/>
  <c r="F96" i="4"/>
  <c r="F95" i="4"/>
  <c r="F134" i="3"/>
  <c r="F132" i="3"/>
  <c r="F131" i="3"/>
  <c r="F129" i="3"/>
  <c r="F51" i="1"/>
  <c r="F49" i="1"/>
  <c r="H40" i="6" l="1"/>
  <c r="H42" i="6"/>
  <c r="H44" i="6"/>
  <c r="H37" i="6"/>
  <c r="H36" i="6"/>
  <c r="H32" i="6"/>
  <c r="H30" i="6"/>
  <c r="H25" i="6"/>
  <c r="G26" i="7"/>
  <c r="G14" i="7"/>
  <c r="G9" i="7"/>
  <c r="I26" i="5"/>
  <c r="K26" i="5" s="1"/>
  <c r="H105" i="4"/>
  <c r="H14" i="6"/>
  <c r="H15" i="6"/>
  <c r="G11" i="7"/>
  <c r="H16" i="6"/>
  <c r="H21" i="6"/>
  <c r="H12" i="6"/>
  <c r="H11" i="6"/>
  <c r="H27" i="6"/>
  <c r="H19" i="6"/>
  <c r="H35" i="6"/>
  <c r="H34" i="6"/>
  <c r="F33" i="6" s="1"/>
  <c r="H17" i="6"/>
  <c r="H18" i="6"/>
  <c r="G13" i="7"/>
  <c r="H26" i="6"/>
  <c r="H24" i="6"/>
  <c r="L133" i="3"/>
  <c r="J133" i="3"/>
  <c r="H133" i="3"/>
  <c r="H92" i="3"/>
  <c r="L86" i="3"/>
  <c r="J85" i="3"/>
  <c r="F39" i="3"/>
  <c r="L39" i="3" s="1"/>
  <c r="G33" i="7"/>
  <c r="G31" i="7"/>
  <c r="G27" i="7"/>
  <c r="G25" i="7"/>
  <c r="G24" i="7"/>
  <c r="G23" i="7"/>
  <c r="G22" i="7"/>
  <c r="F21" i="7"/>
  <c r="G20" i="7"/>
  <c r="G19" i="7"/>
  <c r="G17" i="7"/>
  <c r="G8" i="7"/>
  <c r="H53" i="6"/>
  <c r="H52" i="6"/>
  <c r="H49" i="6"/>
  <c r="H48" i="6"/>
  <c r="H43" i="6"/>
  <c r="H41" i="6"/>
  <c r="H39" i="6"/>
  <c r="G38" i="6"/>
  <c r="H31" i="6"/>
  <c r="H28" i="6"/>
  <c r="H20" i="6"/>
  <c r="H10" i="6"/>
  <c r="H9" i="6"/>
  <c r="L134" i="3"/>
  <c r="J134" i="3"/>
  <c r="J132" i="3"/>
  <c r="H132" i="3"/>
  <c r="H131" i="3"/>
  <c r="L130" i="3"/>
  <c r="J130" i="3"/>
  <c r="H130" i="3"/>
  <c r="J129" i="3"/>
  <c r="H129" i="3"/>
  <c r="L129" i="3"/>
  <c r="J124" i="3"/>
  <c r="H124" i="3"/>
  <c r="L124" i="3"/>
  <c r="J123" i="3"/>
  <c r="H123" i="3"/>
  <c r="L123" i="3"/>
  <c r="J122" i="3"/>
  <c r="H122" i="3"/>
  <c r="L122" i="3"/>
  <c r="L120" i="3"/>
  <c r="L119" i="3"/>
  <c r="L118" i="3"/>
  <c r="J118" i="3"/>
  <c r="H118" i="3"/>
  <c r="K105" i="3"/>
  <c r="L105" i="3" s="1"/>
  <c r="I105" i="3"/>
  <c r="J105" i="3" s="1"/>
  <c r="G105" i="3"/>
  <c r="L104" i="3"/>
  <c r="J104" i="3"/>
  <c r="L103" i="3"/>
  <c r="J103" i="3"/>
  <c r="L101" i="3"/>
  <c r="J101" i="3"/>
  <c r="L100" i="3"/>
  <c r="J100" i="3"/>
  <c r="L99" i="3"/>
  <c r="J99" i="3"/>
  <c r="L98" i="3"/>
  <c r="J98" i="3"/>
  <c r="L97" i="3"/>
  <c r="J97" i="3"/>
  <c r="L96" i="3"/>
  <c r="J96" i="3"/>
  <c r="L95" i="3"/>
  <c r="J95" i="3"/>
  <c r="L92" i="3"/>
  <c r="J92" i="3"/>
  <c r="L91" i="3"/>
  <c r="J91" i="3"/>
  <c r="H91" i="3"/>
  <c r="I90" i="3"/>
  <c r="J90" i="3" s="1"/>
  <c r="L90" i="3"/>
  <c r="L89" i="3"/>
  <c r="J89" i="3"/>
  <c r="K88" i="3"/>
  <c r="L88" i="3" s="1"/>
  <c r="G88" i="3"/>
  <c r="H88" i="3" s="1"/>
  <c r="L87" i="3"/>
  <c r="J87" i="3"/>
  <c r="H87" i="3"/>
  <c r="L85" i="3"/>
  <c r="L84" i="3"/>
  <c r="J84" i="3"/>
  <c r="H84" i="3"/>
  <c r="L83" i="3"/>
  <c r="J83" i="3"/>
  <c r="H83" i="3"/>
  <c r="L82" i="3"/>
  <c r="J82" i="3"/>
  <c r="H82" i="3"/>
  <c r="L81" i="3"/>
  <c r="J81" i="3"/>
  <c r="H81" i="3"/>
  <c r="L80" i="3"/>
  <c r="J80" i="3"/>
  <c r="H80" i="3"/>
  <c r="L79" i="3"/>
  <c r="J79" i="3"/>
  <c r="H79" i="3"/>
  <c r="I78" i="3"/>
  <c r="L73" i="3"/>
  <c r="J73" i="3"/>
  <c r="H73" i="3"/>
  <c r="K72" i="3"/>
  <c r="I72" i="3"/>
  <c r="I70" i="3"/>
  <c r="J70" i="3" s="1"/>
  <c r="H70" i="3"/>
  <c r="L70" i="3"/>
  <c r="J69" i="3"/>
  <c r="H69" i="3"/>
  <c r="L69" i="3"/>
  <c r="J68" i="3"/>
  <c r="H68" i="3"/>
  <c r="L68" i="3"/>
  <c r="J67" i="3"/>
  <c r="H67" i="3"/>
  <c r="L67" i="3"/>
  <c r="G65" i="3"/>
  <c r="I65" i="3" s="1"/>
  <c r="J65" i="3" s="1"/>
  <c r="H65" i="3"/>
  <c r="J64" i="3"/>
  <c r="L63" i="3"/>
  <c r="J63" i="3"/>
  <c r="J62" i="3"/>
  <c r="H62" i="3"/>
  <c r="L61" i="3"/>
  <c r="J61" i="3"/>
  <c r="H61" i="3"/>
  <c r="L60" i="3"/>
  <c r="J60" i="3"/>
  <c r="H60" i="3"/>
  <c r="L59" i="3"/>
  <c r="J59" i="3"/>
  <c r="H59" i="3"/>
  <c r="F58" i="3"/>
  <c r="L57" i="3"/>
  <c r="J57" i="3"/>
  <c r="J52" i="3"/>
  <c r="H52" i="3"/>
  <c r="L52" i="3"/>
  <c r="J51" i="3"/>
  <c r="H51" i="3"/>
  <c r="L51" i="3"/>
  <c r="J50" i="3"/>
  <c r="H50" i="3"/>
  <c r="L50" i="3"/>
  <c r="J49" i="3"/>
  <c r="H49" i="3"/>
  <c r="L49" i="3"/>
  <c r="J48" i="3"/>
  <c r="H48" i="3"/>
  <c r="L48" i="3"/>
  <c r="J47" i="3"/>
  <c r="H47" i="3"/>
  <c r="L47" i="3"/>
  <c r="J46" i="3"/>
  <c r="H46" i="3"/>
  <c r="L46" i="3"/>
  <c r="J45" i="3"/>
  <c r="H45" i="3"/>
  <c r="L45" i="3"/>
  <c r="J44" i="3"/>
  <c r="H44" i="3"/>
  <c r="L44" i="3"/>
  <c r="J43" i="3"/>
  <c r="H43" i="3"/>
  <c r="L43" i="3"/>
  <c r="J42" i="3"/>
  <c r="H42" i="3"/>
  <c r="L42" i="3"/>
  <c r="J41" i="3"/>
  <c r="H41" i="3"/>
  <c r="L41" i="3"/>
  <c r="J40" i="3"/>
  <c r="H40" i="3"/>
  <c r="L40" i="3"/>
  <c r="L37" i="3"/>
  <c r="J37" i="3"/>
  <c r="H37" i="3"/>
  <c r="L36" i="3"/>
  <c r="J36" i="3"/>
  <c r="H36" i="3"/>
  <c r="L35" i="3"/>
  <c r="J35" i="3"/>
  <c r="H35" i="3"/>
  <c r="F34" i="3" s="1"/>
  <c r="L33" i="3"/>
  <c r="J33" i="3"/>
  <c r="L32" i="3"/>
  <c r="J32" i="3"/>
  <c r="L29" i="3"/>
  <c r="J28" i="3"/>
  <c r="H27" i="3"/>
  <c r="L24" i="3"/>
  <c r="J24" i="3"/>
  <c r="H24" i="3"/>
  <c r="L23" i="3"/>
  <c r="J23" i="3"/>
  <c r="H23" i="3"/>
  <c r="L22" i="3"/>
  <c r="J22" i="3"/>
  <c r="H22" i="3"/>
  <c r="L21" i="3"/>
  <c r="J21" i="3"/>
  <c r="H21" i="3"/>
  <c r="L20" i="3"/>
  <c r="J20" i="3"/>
  <c r="H20" i="3"/>
  <c r="L19" i="3"/>
  <c r="J19" i="3"/>
  <c r="H19" i="3"/>
  <c r="K18" i="3"/>
  <c r="L18" i="3" s="1"/>
  <c r="I18" i="3"/>
  <c r="J18" i="3" s="1"/>
  <c r="H18" i="3"/>
  <c r="L17" i="3"/>
  <c r="J17" i="3"/>
  <c r="H17" i="3"/>
  <c r="L16" i="3"/>
  <c r="J16" i="3"/>
  <c r="H16" i="3"/>
  <c r="L15" i="3"/>
  <c r="J15" i="3"/>
  <c r="H15" i="3"/>
  <c r="L14" i="3"/>
  <c r="J14" i="3"/>
  <c r="H14" i="3"/>
  <c r="L13" i="3"/>
  <c r="J13" i="3"/>
  <c r="H13" i="3"/>
  <c r="L12" i="3"/>
  <c r="J12" i="3"/>
  <c r="H12" i="3"/>
  <c r="G30" i="2"/>
  <c r="G15" i="2"/>
  <c r="G12" i="2"/>
  <c r="G9" i="2"/>
  <c r="G23" i="2"/>
  <c r="G19" i="2"/>
  <c r="G13" i="2"/>
  <c r="G11" i="2"/>
  <c r="G8" i="2"/>
  <c r="G7" i="2"/>
  <c r="F45" i="1"/>
  <c r="G18" i="2" s="1"/>
  <c r="F43" i="1"/>
  <c r="I43" i="1" s="1"/>
  <c r="F41" i="1"/>
  <c r="I41" i="1" s="1"/>
  <c r="L45" i="1"/>
  <c r="L43" i="1"/>
  <c r="L42" i="1"/>
  <c r="L41" i="1"/>
  <c r="L40" i="1"/>
  <c r="L39" i="1"/>
  <c r="L38" i="1"/>
  <c r="L37" i="1"/>
  <c r="I45" i="1"/>
  <c r="I42" i="1"/>
  <c r="I40" i="1"/>
  <c r="I39" i="1"/>
  <c r="I38" i="1"/>
  <c r="I37" i="1"/>
  <c r="L35" i="1"/>
  <c r="L34" i="1"/>
  <c r="L33" i="1"/>
  <c r="L32" i="1"/>
  <c r="I35" i="1"/>
  <c r="I34" i="1"/>
  <c r="I33" i="1"/>
  <c r="I32" i="1"/>
  <c r="L26" i="1"/>
  <c r="L27" i="1"/>
  <c r="L28" i="1"/>
  <c r="L29" i="1"/>
  <c r="L30" i="1"/>
  <c r="I26" i="1"/>
  <c r="I27" i="1"/>
  <c r="I28" i="1"/>
  <c r="I29" i="1"/>
  <c r="I30" i="1"/>
  <c r="I23" i="1"/>
  <c r="F22" i="1"/>
  <c r="L22" i="1" s="1"/>
  <c r="L17" i="1"/>
  <c r="I18" i="1"/>
  <c r="L18" i="1" s="1"/>
  <c r="I19" i="1"/>
  <c r="L19" i="1" s="1"/>
  <c r="I20" i="1"/>
  <c r="L20" i="1" s="1"/>
  <c r="I21" i="1"/>
  <c r="L21" i="1" s="1"/>
  <c r="I17" i="1"/>
  <c r="L76" i="3" l="1"/>
  <c r="J76" i="3"/>
  <c r="I88" i="3"/>
  <c r="J88" i="3" s="1"/>
  <c r="J119" i="3"/>
  <c r="J131" i="3"/>
  <c r="L132" i="3"/>
  <c r="L131" i="3"/>
  <c r="G18" i="7"/>
  <c r="G12" i="7"/>
  <c r="E10" i="7" s="1"/>
  <c r="G16" i="7"/>
  <c r="H120" i="3"/>
  <c r="H50" i="6"/>
  <c r="G16" i="2"/>
  <c r="G14" i="2"/>
  <c r="H119" i="3"/>
  <c r="J120" i="3"/>
  <c r="F23" i="6"/>
  <c r="H86" i="3"/>
  <c r="J86" i="3"/>
  <c r="H85" i="3"/>
  <c r="H39" i="3"/>
  <c r="F38" i="3" s="1"/>
  <c r="J39" i="3"/>
  <c r="J25" i="3"/>
  <c r="L25" i="3"/>
  <c r="H25" i="3"/>
  <c r="L113" i="3"/>
  <c r="H113" i="3"/>
  <c r="J113" i="3"/>
  <c r="J31" i="3"/>
  <c r="F30" i="3" s="1"/>
  <c r="L31" i="3"/>
  <c r="L72" i="3"/>
  <c r="L109" i="3"/>
  <c r="H109" i="3"/>
  <c r="J109" i="3"/>
  <c r="L114" i="3"/>
  <c r="H114" i="3"/>
  <c r="J114" i="3"/>
  <c r="L108" i="3"/>
  <c r="H108" i="3"/>
  <c r="J108" i="3"/>
  <c r="L71" i="3"/>
  <c r="H71" i="3"/>
  <c r="J71" i="3"/>
  <c r="L106" i="3"/>
  <c r="H106" i="3"/>
  <c r="J106" i="3"/>
  <c r="L111" i="3"/>
  <c r="H111" i="3"/>
  <c r="J111" i="3"/>
  <c r="L115" i="3"/>
  <c r="H115" i="3"/>
  <c r="J115" i="3"/>
  <c r="L55" i="3"/>
  <c r="J55" i="3"/>
  <c r="H55" i="3"/>
  <c r="J74" i="3"/>
  <c r="L54" i="3"/>
  <c r="J54" i="3"/>
  <c r="H54" i="3"/>
  <c r="F53" i="3" s="1"/>
  <c r="J72" i="3"/>
  <c r="H72" i="3"/>
  <c r="L107" i="3"/>
  <c r="H107" i="3"/>
  <c r="J107" i="3"/>
  <c r="L112" i="3"/>
  <c r="H112" i="3"/>
  <c r="J112" i="3"/>
  <c r="L116" i="3"/>
  <c r="H116" i="3"/>
  <c r="J116" i="3"/>
  <c r="H57" i="3"/>
  <c r="F56" i="3" s="1"/>
  <c r="H63" i="3"/>
  <c r="H64" i="3"/>
  <c r="H76" i="3"/>
  <c r="H89" i="3"/>
  <c r="H90" i="3"/>
  <c r="H95" i="3"/>
  <c r="H96" i="3"/>
  <c r="H97" i="3"/>
  <c r="H98" i="3"/>
  <c r="H99" i="3"/>
  <c r="H100" i="3"/>
  <c r="H101" i="3"/>
  <c r="H103" i="3"/>
  <c r="H104" i="3"/>
  <c r="H134" i="3"/>
  <c r="K65" i="3"/>
  <c r="L65" i="3" s="1"/>
  <c r="H105" i="3"/>
  <c r="H22" i="6" l="1"/>
  <c r="H45" i="6" s="1"/>
  <c r="H46" i="6" s="1"/>
  <c r="H54" i="6" s="1"/>
  <c r="G15" i="7"/>
  <c r="G28" i="7" s="1"/>
  <c r="G29" i="7" s="1"/>
  <c r="G34" i="7" s="1"/>
  <c r="J125" i="3"/>
  <c r="L125" i="3"/>
  <c r="L74" i="3"/>
  <c r="H74" i="3"/>
  <c r="H125" i="3"/>
  <c r="L78" i="3"/>
  <c r="H78" i="3"/>
  <c r="J78" i="3"/>
  <c r="J77" i="3"/>
  <c r="H77" i="3"/>
  <c r="L77" i="3"/>
  <c r="L93" i="3" l="1"/>
  <c r="H93" i="3"/>
  <c r="G30" i="7"/>
  <c r="G35" i="7" s="1"/>
  <c r="H47" i="6"/>
  <c r="H55" i="6" s="1"/>
  <c r="H56" i="6" s="1"/>
  <c r="H58" i="6" s="1"/>
  <c r="L126" i="3"/>
  <c r="L128" i="3" s="1"/>
  <c r="J93" i="3"/>
  <c r="J126" i="3" s="1"/>
  <c r="J128" i="3" s="1"/>
  <c r="H126" i="3"/>
  <c r="H128" i="3" l="1"/>
  <c r="H127" i="3"/>
  <c r="H57" i="6"/>
  <c r="H59" i="6" s="1"/>
  <c r="H60" i="6" s="1"/>
  <c r="L127" i="3"/>
  <c r="L135" i="3" s="1"/>
  <c r="L136" i="3" s="1"/>
  <c r="G36" i="7"/>
  <c r="J127" i="3"/>
  <c r="H135" i="3" l="1"/>
  <c r="H136" i="3" s="1"/>
  <c r="H137" i="3" s="1"/>
  <c r="G38" i="7"/>
  <c r="G37" i="7"/>
  <c r="L137" i="3"/>
  <c r="J135" i="3"/>
  <c r="J136" i="3" s="1"/>
  <c r="J137" i="3" s="1"/>
  <c r="G39" i="7" l="1"/>
  <c r="G40" i="7" s="1"/>
  <c r="J138" i="3"/>
  <c r="J140" i="3"/>
  <c r="J139" i="3"/>
  <c r="L139" i="3"/>
  <c r="L138" i="3"/>
  <c r="L140" i="3"/>
  <c r="J141" i="3" l="1"/>
  <c r="J142" i="3" s="1"/>
  <c r="J143" i="3" s="1"/>
  <c r="L141" i="3"/>
  <c r="L142" i="3" s="1"/>
  <c r="L143" i="3" s="1"/>
  <c r="H139" i="3"/>
  <c r="H140" i="3"/>
  <c r="H138" i="3"/>
  <c r="H141" i="3" l="1"/>
  <c r="H142" i="3" s="1"/>
  <c r="H143" i="3" s="1"/>
  <c r="I16" i="1"/>
  <c r="L16" i="1" s="1"/>
  <c r="L14" i="1"/>
  <c r="I12" i="1"/>
  <c r="L12" i="1" s="1"/>
  <c r="L51" i="1" l="1"/>
  <c r="I51" i="1"/>
  <c r="K27" i="5"/>
  <c r="K22" i="5"/>
  <c r="K21" i="5"/>
  <c r="K20" i="5"/>
  <c r="I19" i="5"/>
  <c r="K19" i="5"/>
  <c r="I18" i="5"/>
  <c r="G18" i="5"/>
  <c r="K18" i="5"/>
  <c r="K16" i="5"/>
  <c r="G15" i="5"/>
  <c r="G14" i="5"/>
  <c r="K14" i="5" s="1"/>
  <c r="G13" i="5"/>
  <c r="K13" i="5" s="1"/>
  <c r="K11" i="5"/>
  <c r="G10" i="5"/>
  <c r="G106" i="4"/>
  <c r="I106" i="4" s="1"/>
  <c r="J105" i="4"/>
  <c r="J102" i="4"/>
  <c r="I102" i="4"/>
  <c r="H102" i="4"/>
  <c r="H101" i="4"/>
  <c r="I100" i="4"/>
  <c r="H100" i="4"/>
  <c r="H99" i="4"/>
  <c r="I98" i="4"/>
  <c r="H98" i="4"/>
  <c r="J97" i="4"/>
  <c r="I97" i="4"/>
  <c r="H97" i="4"/>
  <c r="I96" i="4"/>
  <c r="J95" i="4"/>
  <c r="I95" i="4"/>
  <c r="I91" i="4"/>
  <c r="H91" i="4"/>
  <c r="I90" i="4"/>
  <c r="H90" i="4"/>
  <c r="I89" i="4"/>
  <c r="H89" i="4"/>
  <c r="I88" i="4"/>
  <c r="H88" i="4"/>
  <c r="I87" i="4"/>
  <c r="H87" i="4"/>
  <c r="H86" i="4"/>
  <c r="G85" i="4"/>
  <c r="I84" i="4"/>
  <c r="J83" i="4"/>
  <c r="I83" i="4"/>
  <c r="J82" i="4"/>
  <c r="H82" i="4"/>
  <c r="I82" i="4"/>
  <c r="I81" i="4"/>
  <c r="I80" i="4"/>
  <c r="J79" i="4"/>
  <c r="I79" i="4"/>
  <c r="J78" i="4"/>
  <c r="H78" i="4"/>
  <c r="I78" i="4"/>
  <c r="I75" i="4"/>
  <c r="G74" i="4"/>
  <c r="H74" i="4" s="1"/>
  <c r="J73" i="4"/>
  <c r="J71" i="4"/>
  <c r="J70" i="4"/>
  <c r="G69" i="4"/>
  <c r="G68" i="4"/>
  <c r="J68" i="4" s="1"/>
  <c r="H66" i="4"/>
  <c r="H65" i="4"/>
  <c r="H64" i="4"/>
  <c r="H63" i="4"/>
  <c r="H62" i="4"/>
  <c r="H61" i="4"/>
  <c r="H60" i="4"/>
  <c r="H58" i="4"/>
  <c r="I58" i="4"/>
  <c r="J57" i="4"/>
  <c r="I57" i="4"/>
  <c r="J54" i="4"/>
  <c r="J53" i="4"/>
  <c r="J52" i="4"/>
  <c r="J51" i="4"/>
  <c r="J50" i="4"/>
  <c r="J49" i="4"/>
  <c r="J48" i="4"/>
  <c r="J47" i="4"/>
  <c r="J46" i="4"/>
  <c r="J45" i="4"/>
  <c r="J43" i="4"/>
  <c r="I43" i="4"/>
  <c r="H43" i="4"/>
  <c r="J42" i="4"/>
  <c r="I42" i="4"/>
  <c r="H42" i="4"/>
  <c r="I40" i="4"/>
  <c r="H40" i="4"/>
  <c r="I38" i="4"/>
  <c r="H38" i="4"/>
  <c r="H37" i="4"/>
  <c r="I36" i="4"/>
  <c r="H36" i="4"/>
  <c r="H35" i="4"/>
  <c r="I34" i="4"/>
  <c r="H34" i="4"/>
  <c r="H33" i="4"/>
  <c r="I32" i="4"/>
  <c r="H32" i="4"/>
  <c r="H31" i="4"/>
  <c r="F30" i="4" s="1"/>
  <c r="J29" i="4"/>
  <c r="H29" i="4"/>
  <c r="I29" i="4"/>
  <c r="J28" i="4"/>
  <c r="H28" i="4"/>
  <c r="I28" i="4"/>
  <c r="I27" i="4"/>
  <c r="I26" i="4"/>
  <c r="H25" i="4"/>
  <c r="H24" i="4"/>
  <c r="J24" i="4"/>
  <c r="H23" i="4"/>
  <c r="J23" i="4"/>
  <c r="H22" i="4"/>
  <c r="J22" i="4"/>
  <c r="H20" i="4"/>
  <c r="I20" i="4" s="1"/>
  <c r="J20" i="4" s="1"/>
  <c r="H19" i="4"/>
  <c r="I19" i="4" s="1"/>
  <c r="J19" i="4" s="1"/>
  <c r="H18" i="4"/>
  <c r="I16" i="4"/>
  <c r="J16" i="4" s="1"/>
  <c r="I15" i="4"/>
  <c r="J15" i="4" s="1"/>
  <c r="I14" i="4"/>
  <c r="J12" i="4"/>
  <c r="I11" i="4"/>
  <c r="H10" i="4"/>
  <c r="M51" i="1"/>
  <c r="K51" i="1"/>
  <c r="H51" i="1"/>
  <c r="J51" i="1" s="1"/>
  <c r="G51" i="1"/>
  <c r="G49" i="1"/>
  <c r="M45" i="1"/>
  <c r="J45" i="1"/>
  <c r="G45" i="1"/>
  <c r="M43" i="1"/>
  <c r="J43" i="1"/>
  <c r="G43" i="1"/>
  <c r="M42" i="1"/>
  <c r="J42" i="1"/>
  <c r="G42" i="1"/>
  <c r="M41" i="1"/>
  <c r="J41" i="1"/>
  <c r="G41" i="1"/>
  <c r="M40" i="1"/>
  <c r="J40" i="1"/>
  <c r="G40" i="1"/>
  <c r="M39" i="1"/>
  <c r="J39" i="1"/>
  <c r="G39" i="1"/>
  <c r="M38" i="1"/>
  <c r="J38" i="1"/>
  <c r="G38" i="1"/>
  <c r="M37" i="1"/>
  <c r="J37" i="1"/>
  <c r="G37" i="1"/>
  <c r="M35" i="1"/>
  <c r="G35" i="1"/>
  <c r="J34" i="1"/>
  <c r="M33" i="1"/>
  <c r="G33" i="1"/>
  <c r="J32" i="1"/>
  <c r="M30" i="1"/>
  <c r="J30" i="1"/>
  <c r="G30" i="1"/>
  <c r="M29" i="1"/>
  <c r="J29" i="1"/>
  <c r="G29" i="1"/>
  <c r="M28" i="1"/>
  <c r="J28" i="1"/>
  <c r="G28" i="1"/>
  <c r="M27" i="1"/>
  <c r="J27" i="1"/>
  <c r="G27" i="1"/>
  <c r="M26" i="1"/>
  <c r="J26" i="1"/>
  <c r="G26" i="1"/>
  <c r="K25" i="1"/>
  <c r="H25" i="1"/>
  <c r="G25" i="1"/>
  <c r="H24" i="1"/>
  <c r="J23" i="1"/>
  <c r="M22" i="1"/>
  <c r="G22" i="1"/>
  <c r="M21" i="1"/>
  <c r="J21" i="1"/>
  <c r="G21" i="1"/>
  <c r="M20" i="1"/>
  <c r="J20" i="1"/>
  <c r="G20" i="1"/>
  <c r="M19" i="1"/>
  <c r="J19" i="1"/>
  <c r="G19" i="1"/>
  <c r="M18" i="1"/>
  <c r="J18" i="1"/>
  <c r="G18" i="1"/>
  <c r="M17" i="1"/>
  <c r="J17" i="1"/>
  <c r="G17" i="1"/>
  <c r="M16" i="1"/>
  <c r="J16" i="1"/>
  <c r="G16" i="1"/>
  <c r="J15" i="1"/>
  <c r="M14" i="1"/>
  <c r="G14" i="1"/>
  <c r="M12" i="1"/>
  <c r="J12" i="1"/>
  <c r="G12" i="1"/>
  <c r="M11" i="1"/>
  <c r="J10" i="1"/>
  <c r="G9" i="1"/>
  <c r="G24" i="1" l="1"/>
  <c r="F44" i="1"/>
  <c r="L24" i="1"/>
  <c r="M24" i="1" s="1"/>
  <c r="I24" i="1"/>
  <c r="J24" i="1" s="1"/>
  <c r="H68" i="4"/>
  <c r="H96" i="4"/>
  <c r="I99" i="4"/>
  <c r="I101" i="4"/>
  <c r="I25" i="1"/>
  <c r="J25" i="1" s="1"/>
  <c r="L25" i="1"/>
  <c r="M25" i="1" s="1"/>
  <c r="H95" i="4"/>
  <c r="J96" i="4"/>
  <c r="J106" i="4"/>
  <c r="F21" i="4"/>
  <c r="F41" i="4"/>
  <c r="I22" i="4"/>
  <c r="I23" i="4"/>
  <c r="I24" i="4"/>
  <c r="H27" i="4"/>
  <c r="I60" i="4"/>
  <c r="I62" i="4"/>
  <c r="I64" i="4"/>
  <c r="I66" i="4"/>
  <c r="H75" i="4"/>
  <c r="H81" i="4"/>
  <c r="K15" i="5"/>
  <c r="K23" i="5" s="1"/>
  <c r="H26" i="4"/>
  <c r="J27" i="4"/>
  <c r="I31" i="4"/>
  <c r="I33" i="4"/>
  <c r="I35" i="4"/>
  <c r="I37" i="4"/>
  <c r="J69" i="4"/>
  <c r="J75" i="4"/>
  <c r="H80" i="4"/>
  <c r="J81" i="4"/>
  <c r="H84" i="4"/>
  <c r="I86" i="4"/>
  <c r="G20" i="5"/>
  <c r="J26" i="4"/>
  <c r="H57" i="4"/>
  <c r="F56" i="4" s="1"/>
  <c r="J58" i="4"/>
  <c r="I61" i="4"/>
  <c r="I63" i="4"/>
  <c r="I65" i="4"/>
  <c r="I74" i="4"/>
  <c r="H79" i="4"/>
  <c r="J80" i="4"/>
  <c r="H83" i="4"/>
  <c r="J84" i="4"/>
  <c r="G19" i="5"/>
  <c r="G23" i="5" s="1"/>
  <c r="I20" i="5"/>
  <c r="I11" i="5"/>
  <c r="F13" i="4"/>
  <c r="J14" i="4"/>
  <c r="I18" i="4"/>
  <c r="J18" i="4" s="1"/>
  <c r="F17" i="4"/>
  <c r="F59" i="4"/>
  <c r="J103" i="4"/>
  <c r="J74" i="4"/>
  <c r="J31" i="4"/>
  <c r="J32" i="4"/>
  <c r="J33" i="4"/>
  <c r="J34" i="4"/>
  <c r="J35" i="4"/>
  <c r="J36" i="4"/>
  <c r="J37" i="4"/>
  <c r="J38" i="4"/>
  <c r="J40" i="4"/>
  <c r="H45" i="4"/>
  <c r="H46" i="4"/>
  <c r="H47" i="4"/>
  <c r="H48" i="4"/>
  <c r="H49" i="4"/>
  <c r="H50" i="4"/>
  <c r="H51" i="4"/>
  <c r="H52" i="4"/>
  <c r="H53" i="4"/>
  <c r="H54" i="4"/>
  <c r="J60" i="4"/>
  <c r="J61" i="4"/>
  <c r="J62" i="4"/>
  <c r="J63" i="4"/>
  <c r="J64" i="4"/>
  <c r="J65" i="4"/>
  <c r="J66" i="4"/>
  <c r="I68" i="4"/>
  <c r="H69" i="4"/>
  <c r="H70" i="4"/>
  <c r="H71" i="4"/>
  <c r="H73" i="4"/>
  <c r="J86" i="4"/>
  <c r="J87" i="4"/>
  <c r="J88" i="4"/>
  <c r="J89" i="4"/>
  <c r="J90" i="4"/>
  <c r="J91" i="4"/>
  <c r="J98" i="4"/>
  <c r="J99" i="4"/>
  <c r="J100" i="4"/>
  <c r="J101" i="4"/>
  <c r="I105" i="4"/>
  <c r="I103" i="4" s="1"/>
  <c r="H106" i="4"/>
  <c r="H103" i="4" s="1"/>
  <c r="I45" i="4"/>
  <c r="I46" i="4"/>
  <c r="I47" i="4"/>
  <c r="I48" i="4"/>
  <c r="I49" i="4"/>
  <c r="I50" i="4"/>
  <c r="I51" i="4"/>
  <c r="I52" i="4"/>
  <c r="I53" i="4"/>
  <c r="I54" i="4"/>
  <c r="I69" i="4"/>
  <c r="I70" i="4"/>
  <c r="I71" i="4"/>
  <c r="I73" i="4"/>
  <c r="K24" i="5" l="1"/>
  <c r="K28" i="5" s="1"/>
  <c r="I23" i="5"/>
  <c r="G17" i="2"/>
  <c r="G20" i="2" s="1"/>
  <c r="L44" i="1"/>
  <c r="M44" i="1" s="1"/>
  <c r="M36" i="1" s="1"/>
  <c r="M46" i="1" s="1"/>
  <c r="I44" i="1"/>
  <c r="J44" i="1" s="1"/>
  <c r="J36" i="1" s="1"/>
  <c r="J46" i="1" s="1"/>
  <c r="G44" i="1"/>
  <c r="G36" i="1" s="1"/>
  <c r="G46" i="1" s="1"/>
  <c r="G24" i="5"/>
  <c r="G25" i="5"/>
  <c r="K25" i="5"/>
  <c r="K29" i="5" s="1"/>
  <c r="H92" i="4"/>
  <c r="F44" i="4"/>
  <c r="I92" i="4"/>
  <c r="J92" i="4"/>
  <c r="H93" i="4" l="1"/>
  <c r="G28" i="5"/>
  <c r="G29" i="5" s="1"/>
  <c r="G30" i="5" s="1"/>
  <c r="I24" i="5"/>
  <c r="I28" i="5" s="1"/>
  <c r="I29" i="5"/>
  <c r="I25" i="5"/>
  <c r="G48" i="1"/>
  <c r="G47" i="1"/>
  <c r="G52" i="1" s="1"/>
  <c r="J47" i="1"/>
  <c r="J52" i="1" s="1"/>
  <c r="J48" i="1"/>
  <c r="M47" i="1"/>
  <c r="M52" i="1" s="1"/>
  <c r="M48" i="1"/>
  <c r="G22" i="2"/>
  <c r="G21" i="2"/>
  <c r="H94" i="4"/>
  <c r="K30" i="5"/>
  <c r="I30" i="5"/>
  <c r="J93" i="4"/>
  <c r="J94" i="4"/>
  <c r="I93" i="4"/>
  <c r="I94" i="4"/>
  <c r="J107" i="4" l="1"/>
  <c r="J108" i="4" s="1"/>
  <c r="I107" i="4"/>
  <c r="I108" i="4" s="1"/>
  <c r="I109" i="4" s="1"/>
  <c r="H107" i="4"/>
  <c r="H108" i="4" s="1"/>
  <c r="J53" i="1"/>
  <c r="J54" i="1" s="1"/>
  <c r="J55" i="1" s="1"/>
  <c r="M53" i="1"/>
  <c r="M54" i="1" s="1"/>
  <c r="G53" i="1"/>
  <c r="G54" i="1" s="1"/>
  <c r="G56" i="1" s="1"/>
  <c r="G25" i="2"/>
  <c r="G26" i="2" s="1"/>
  <c r="G27" i="2" s="1"/>
  <c r="K31" i="5"/>
  <c r="K32" i="5"/>
  <c r="G31" i="5"/>
  <c r="G34" i="5" s="1"/>
  <c r="G32" i="5"/>
  <c r="I31" i="5"/>
  <c r="I32" i="5"/>
  <c r="H109" i="4" l="1"/>
  <c r="H110" i="4" s="1"/>
  <c r="J109" i="4"/>
  <c r="J110" i="4" s="1"/>
  <c r="J56" i="1"/>
  <c r="J57" i="1" s="1"/>
  <c r="J58" i="1" s="1"/>
  <c r="M55" i="1"/>
  <c r="M56" i="1"/>
  <c r="G55" i="1"/>
  <c r="G57" i="1" s="1"/>
  <c r="G58" i="1" s="1"/>
  <c r="G29" i="2"/>
  <c r="G28" i="2"/>
  <c r="I34" i="5"/>
  <c r="I35" i="5" s="1"/>
  <c r="K34" i="5"/>
  <c r="K35" i="5" s="1"/>
  <c r="G35" i="5"/>
  <c r="I111" i="4"/>
  <c r="I110" i="4"/>
  <c r="J111" i="4" l="1"/>
  <c r="H111" i="4"/>
  <c r="H112" i="4" s="1"/>
  <c r="H113" i="4" s="1"/>
  <c r="M57" i="1"/>
  <c r="M58" i="1" s="1"/>
  <c r="G31" i="2"/>
  <c r="G32" i="2" s="1"/>
  <c r="J112" i="4"/>
  <c r="J113" i="4" s="1"/>
  <c r="I112" i="4"/>
  <c r="I113" i="4" s="1"/>
</calcChain>
</file>

<file path=xl/comments1.xml><?xml version="1.0" encoding="utf-8"?>
<comments xmlns="http://schemas.openxmlformats.org/spreadsheetml/2006/main">
  <authors>
    <author>89326879</author>
    <author>Barun Chakraborty</author>
  </authors>
  <commentList>
    <comment ref="E13" authorId="0" shapeId="0">
      <text>
        <r>
          <rPr>
            <b/>
            <sz val="9"/>
            <color indexed="81"/>
            <rFont val="Tahoma"/>
            <family val="2"/>
          </rPr>
          <t>89326879:</t>
        </r>
        <r>
          <rPr>
            <sz val="9"/>
            <color indexed="81"/>
            <rFont val="Tahoma"/>
            <family val="2"/>
          </rPr>
          <t xml:space="preserve">
Assuming 2 kg M-seal @ Rs 450/- per kg + PVC Plate 10 mm thick</t>
        </r>
      </text>
    </comment>
    <comment ref="G27" authorId="0" shapeId="0">
      <text>
        <r>
          <rPr>
            <b/>
            <sz val="9"/>
            <color indexed="81"/>
            <rFont val="Tahoma"/>
            <family val="2"/>
          </rPr>
          <t xml:space="preserve">89326879: </t>
        </r>
        <r>
          <rPr>
            <b/>
            <sz val="14"/>
            <color indexed="81"/>
            <rFont val="Arial"/>
            <family val="2"/>
          </rPr>
          <t>***</t>
        </r>
        <r>
          <rPr>
            <sz val="9"/>
            <color indexed="81"/>
            <rFont val="Tahoma"/>
            <family val="2"/>
          </rPr>
          <t xml:space="preserve">
</t>
        </r>
      </text>
    </comment>
    <comment ref="B29" authorId="1" shapeId="0">
      <text>
        <r>
          <rPr>
            <b/>
            <sz val="9"/>
            <color indexed="81"/>
            <rFont val="Tahoma"/>
            <charset val="1"/>
          </rPr>
          <t>Barun Chakraborty:</t>
        </r>
        <r>
          <rPr>
            <sz val="9"/>
            <color indexed="81"/>
            <rFont val="Tahoma"/>
            <charset val="1"/>
          </rPr>
          <t xml:space="preserve">
Earlier name was - Transportation Charges</t>
        </r>
      </text>
    </comment>
    <comment ref="H35" authorId="0" shapeId="0">
      <text>
        <r>
          <rPr>
            <b/>
            <sz val="9"/>
            <color indexed="81"/>
            <rFont val="Tahoma"/>
            <family val="2"/>
          </rPr>
          <t>89326879:</t>
        </r>
        <r>
          <rPr>
            <sz val="9"/>
            <color indexed="81"/>
            <rFont val="Tahoma"/>
            <family val="2"/>
          </rPr>
          <t xml:space="preserve">
Fill appropriate cost here</t>
        </r>
      </text>
    </comment>
  </commentList>
</comments>
</file>

<file path=xl/comments10.xml><?xml version="1.0" encoding="utf-8"?>
<comments xmlns="http://schemas.openxmlformats.org/spreadsheetml/2006/main">
  <authors>
    <author>Barun Chakraborty</author>
  </authors>
  <commentList>
    <comment ref="B28" authorId="0" shapeId="0">
      <text>
        <r>
          <rPr>
            <b/>
            <sz val="9"/>
            <color indexed="81"/>
            <rFont val="Tahoma"/>
            <family val="2"/>
          </rPr>
          <t>Barun Chakraborty:</t>
        </r>
        <r>
          <rPr>
            <sz val="9"/>
            <color indexed="81"/>
            <rFont val="Tahoma"/>
            <family val="2"/>
          </rPr>
          <t xml:space="preserve">
Earlier name was - SUB TOTAL-1 </t>
        </r>
      </text>
    </comment>
    <comment ref="B34" authorId="0" shapeId="0">
      <text>
        <r>
          <rPr>
            <b/>
            <sz val="9"/>
            <color indexed="81"/>
            <rFont val="Tahoma"/>
            <family val="2"/>
          </rPr>
          <t>Barun Chakraborty:</t>
        </r>
        <r>
          <rPr>
            <sz val="9"/>
            <color indexed="81"/>
            <rFont val="Tahoma"/>
            <family val="2"/>
          </rPr>
          <t xml:space="preserve">
Earlier name was - Transport charges upto 50 Km lead from Area stores to construction site for addl. lead refer Schedule T-2. </t>
        </r>
      </text>
    </comment>
  </commentList>
</comments>
</file>

<file path=xl/comments11.xml><?xml version="1.0" encoding="utf-8"?>
<comments xmlns="http://schemas.openxmlformats.org/spreadsheetml/2006/main">
  <authors>
    <author>Barun Chakraborty</author>
    <author>Kanchan Mahesh Thakur</author>
  </authors>
  <commentList>
    <comment ref="B23" authorId="0" shapeId="0">
      <text>
        <r>
          <rPr>
            <b/>
            <sz val="9"/>
            <color indexed="81"/>
            <rFont val="Tahoma"/>
            <family val="2"/>
          </rPr>
          <t>Barun Chakraborty:</t>
        </r>
        <r>
          <rPr>
            <sz val="9"/>
            <color indexed="81"/>
            <rFont val="Tahoma"/>
            <family val="2"/>
          </rPr>
          <t xml:space="preserve">
Earlier name was - SUB TOTAL-1 </t>
        </r>
      </text>
    </comment>
    <comment ref="G33" authorId="1" shapeId="0">
      <text>
        <r>
          <rPr>
            <b/>
            <sz val="9"/>
            <color indexed="81"/>
            <rFont val="Tahoma"/>
            <family val="2"/>
          </rPr>
          <t>Kanchan Mahesh Thakur:</t>
        </r>
        <r>
          <rPr>
            <sz val="9"/>
            <color indexed="81"/>
            <rFont val="Tahoma"/>
            <family val="2"/>
          </rPr>
          <t xml:space="preserve">
rates of 1996-97</t>
        </r>
      </text>
    </comment>
    <comment ref="I33" authorId="1" shapeId="0">
      <text>
        <r>
          <rPr>
            <b/>
            <sz val="9"/>
            <color indexed="81"/>
            <rFont val="Tahoma"/>
            <family val="2"/>
          </rPr>
          <t>Kanchan Mahesh Thakur:</t>
        </r>
        <r>
          <rPr>
            <sz val="9"/>
            <color indexed="81"/>
            <rFont val="Tahoma"/>
            <family val="2"/>
          </rPr>
          <t xml:space="preserve">
rates of 1996-97</t>
        </r>
      </text>
    </comment>
    <comment ref="K33" authorId="1" shapeId="0">
      <text>
        <r>
          <rPr>
            <b/>
            <sz val="9"/>
            <color indexed="81"/>
            <rFont val="Tahoma"/>
            <family val="2"/>
          </rPr>
          <t>Kanchan Mahesh Thakur:</t>
        </r>
        <r>
          <rPr>
            <sz val="9"/>
            <color indexed="81"/>
            <rFont val="Tahoma"/>
            <family val="2"/>
          </rPr>
          <t xml:space="preserve">
rates of 1996-97</t>
        </r>
      </text>
    </comment>
  </commentList>
</comments>
</file>

<file path=xl/comments2.xml><?xml version="1.0" encoding="utf-8"?>
<comments xmlns="http://schemas.openxmlformats.org/spreadsheetml/2006/main">
  <authors>
    <author>Barun Chakraborty</author>
  </authors>
  <commentList>
    <comment ref="D14" authorId="0" shapeId="0">
      <text>
        <r>
          <rPr>
            <b/>
            <sz val="9"/>
            <color indexed="81"/>
            <rFont val="Tahoma"/>
            <family val="2"/>
          </rPr>
          <t>Barun Chakraborty:</t>
        </r>
        <r>
          <rPr>
            <sz val="9"/>
            <color indexed="81"/>
            <rFont val="Tahoma"/>
            <family val="2"/>
          </rPr>
          <t xml:space="preserve">
Earlier unit was - No.</t>
        </r>
      </text>
    </comment>
    <comment ref="D22" authorId="0" shapeId="0">
      <text>
        <r>
          <rPr>
            <b/>
            <sz val="9"/>
            <color indexed="81"/>
            <rFont val="Tahoma"/>
            <family val="2"/>
          </rPr>
          <t>Barun Chakraborty:</t>
        </r>
        <r>
          <rPr>
            <sz val="9"/>
            <color indexed="81"/>
            <rFont val="Tahoma"/>
            <family val="2"/>
          </rPr>
          <t xml:space="preserve">
Earlier unit was - No.</t>
        </r>
      </text>
    </comment>
    <comment ref="B46" authorId="0" shapeId="0">
      <text>
        <r>
          <rPr>
            <b/>
            <sz val="9"/>
            <color indexed="81"/>
            <rFont val="Tahoma"/>
            <family val="2"/>
          </rPr>
          <t>Barun Chakraborty:</t>
        </r>
        <r>
          <rPr>
            <sz val="9"/>
            <color indexed="81"/>
            <rFont val="Tahoma"/>
            <family val="2"/>
          </rPr>
          <t xml:space="preserve">
Earlier name was - SUB TOTAL-1 </t>
        </r>
      </text>
    </comment>
    <comment ref="F48" authorId="0" shapeId="0">
      <text>
        <r>
          <rPr>
            <b/>
            <sz val="9"/>
            <color indexed="81"/>
            <rFont val="Tahoma"/>
            <family val="2"/>
          </rPr>
          <t>Barun Chakraborty:</t>
        </r>
        <r>
          <rPr>
            <sz val="9"/>
            <color indexed="81"/>
            <rFont val="Tahoma"/>
            <family val="2"/>
          </rPr>
          <t xml:space="preserve">
Earlier - 0.09</t>
        </r>
      </text>
    </comment>
    <comment ref="I48" authorId="0" shapeId="0">
      <text>
        <r>
          <rPr>
            <b/>
            <sz val="9"/>
            <color indexed="81"/>
            <rFont val="Tahoma"/>
            <family val="2"/>
          </rPr>
          <t>Barun Chakraborty:</t>
        </r>
        <r>
          <rPr>
            <sz val="9"/>
            <color indexed="81"/>
            <rFont val="Tahoma"/>
            <family val="2"/>
          </rPr>
          <t xml:space="preserve">
Earlier - 0.09</t>
        </r>
      </text>
    </comment>
    <comment ref="L48" authorId="0" shapeId="0">
      <text>
        <r>
          <rPr>
            <b/>
            <sz val="9"/>
            <color indexed="81"/>
            <rFont val="Tahoma"/>
            <family val="2"/>
          </rPr>
          <t>Barun Chakraborty:</t>
        </r>
        <r>
          <rPr>
            <sz val="9"/>
            <color indexed="81"/>
            <rFont val="Tahoma"/>
            <family val="2"/>
          </rPr>
          <t xml:space="preserve">
Earlier - 0.09</t>
        </r>
      </text>
    </comment>
  </commentList>
</comments>
</file>

<file path=xl/comments3.xml><?xml version="1.0" encoding="utf-8"?>
<comments xmlns="http://schemas.openxmlformats.org/spreadsheetml/2006/main">
  <authors>
    <author>Barun Chakraborty</author>
  </authors>
  <commentList>
    <comment ref="B53" authorId="0" shapeId="0">
      <text>
        <r>
          <rPr>
            <b/>
            <sz val="9"/>
            <color indexed="81"/>
            <rFont val="Tahoma"/>
            <family val="2"/>
          </rPr>
          <t>Barun Chakraborty:</t>
        </r>
        <r>
          <rPr>
            <sz val="9"/>
            <color indexed="81"/>
            <rFont val="Tahoma"/>
            <family val="2"/>
          </rPr>
          <t xml:space="preserve">
Earlier name was - Transport charges upto 50 Kms average lead from area stores to construction camp including site Transport (Trans. Schedule T-1) </t>
        </r>
      </text>
    </comment>
  </commentList>
</comments>
</file>

<file path=xl/comments4.xml><?xml version="1.0" encoding="utf-8"?>
<comments xmlns="http://schemas.openxmlformats.org/spreadsheetml/2006/main">
  <authors>
    <author>Barun Chakraborty</author>
    <author>Kanchan Mahesh Thakur</author>
  </authors>
  <commentList>
    <comment ref="B24" authorId="0" shapeId="0">
      <text>
        <r>
          <rPr>
            <b/>
            <sz val="9"/>
            <color indexed="81"/>
            <rFont val="Tahoma"/>
            <family val="2"/>
          </rPr>
          <t>Barun Chakraborty:</t>
        </r>
        <r>
          <rPr>
            <sz val="9"/>
            <color indexed="81"/>
            <rFont val="Tahoma"/>
            <family val="2"/>
          </rPr>
          <t xml:space="preserve">
Earlier name was - Labour Charges (activities defined)</t>
        </r>
      </text>
    </comment>
    <comment ref="F30" authorId="1" shapeId="0">
      <text>
        <r>
          <rPr>
            <b/>
            <sz val="9"/>
            <color indexed="81"/>
            <rFont val="Tahoma"/>
            <family val="2"/>
          </rPr>
          <t>Kanchan Mahesh Thakur:</t>
        </r>
        <r>
          <rPr>
            <sz val="9"/>
            <color indexed="81"/>
            <rFont val="Tahoma"/>
            <family val="2"/>
          </rPr>
          <t xml:space="preserve">
rates of 1996-97</t>
        </r>
      </text>
    </comment>
  </commentList>
</comments>
</file>

<file path=xl/comments5.xml><?xml version="1.0" encoding="utf-8"?>
<comments xmlns="http://schemas.openxmlformats.org/spreadsheetml/2006/main">
  <authors>
    <author>Barun Chakraborty</author>
  </authors>
  <commentList>
    <comment ref="B50" authorId="0" shapeId="0">
      <text>
        <r>
          <rPr>
            <b/>
            <sz val="9"/>
            <color indexed="81"/>
            <rFont val="Tahoma"/>
            <charset val="1"/>
          </rPr>
          <t>Barun Chakraborty:</t>
        </r>
        <r>
          <rPr>
            <sz val="9"/>
            <color indexed="81"/>
            <rFont val="Tahoma"/>
            <charset val="1"/>
          </rPr>
          <t xml:space="preserve">
Earlier name was - Transport Charges up to 50 km average lead from area Stores to Construction Camp Including Side Transport </t>
        </r>
      </text>
    </comment>
    <comment ref="D50" authorId="0" shapeId="0">
      <text>
        <r>
          <rPr>
            <b/>
            <sz val="9"/>
            <color indexed="81"/>
            <rFont val="Tahoma"/>
            <charset val="1"/>
          </rPr>
          <t>Barun Chakraborty:</t>
        </r>
        <r>
          <rPr>
            <sz val="9"/>
            <color indexed="81"/>
            <rFont val="Tahoma"/>
            <charset val="1"/>
          </rPr>
          <t xml:space="preserve">
Earlier - LS</t>
        </r>
      </text>
    </comment>
    <comment ref="E50" authorId="0" shapeId="0">
      <text>
        <r>
          <rPr>
            <b/>
            <sz val="9"/>
            <color indexed="81"/>
            <rFont val="Tahoma"/>
            <charset val="1"/>
          </rPr>
          <t>Barun Chakraborty:</t>
        </r>
        <r>
          <rPr>
            <sz val="9"/>
            <color indexed="81"/>
            <rFont val="Tahoma"/>
            <charset val="1"/>
          </rPr>
          <t xml:space="preserve">
Earlier - LS</t>
        </r>
      </text>
    </comment>
  </commentList>
</comments>
</file>

<file path=xl/comments6.xml><?xml version="1.0" encoding="utf-8"?>
<comments xmlns="http://schemas.openxmlformats.org/spreadsheetml/2006/main">
  <authors>
    <author>Barun Chakraborty</author>
  </authors>
  <commentList>
    <comment ref="B32" authorId="0" shapeId="0">
      <text>
        <r>
          <rPr>
            <b/>
            <sz val="9"/>
            <color indexed="81"/>
            <rFont val="Tahoma"/>
            <charset val="1"/>
          </rPr>
          <t>Barun Chakraborty:</t>
        </r>
        <r>
          <rPr>
            <sz val="9"/>
            <color indexed="81"/>
            <rFont val="Tahoma"/>
            <charset val="1"/>
          </rPr>
          <t xml:space="preserve">
Earlier name was - Labour Charges  - S.No. 23 (i) to (x) detailed [individual work mentioned]</t>
        </r>
      </text>
    </comment>
    <comment ref="B33" authorId="0" shapeId="0">
      <text>
        <r>
          <rPr>
            <b/>
            <sz val="9"/>
            <color indexed="81"/>
            <rFont val="Tahoma"/>
            <charset val="1"/>
          </rPr>
          <t>Barun Chakraborty:</t>
        </r>
        <r>
          <rPr>
            <sz val="9"/>
            <color indexed="81"/>
            <rFont val="Tahoma"/>
            <charset val="1"/>
          </rPr>
          <t xml:space="preserve">
Earlier name was - Transportation Charges</t>
        </r>
      </text>
    </comment>
  </commentList>
</comments>
</file>

<file path=xl/comments7.xml><?xml version="1.0" encoding="utf-8"?>
<comments xmlns="http://schemas.openxmlformats.org/spreadsheetml/2006/main">
  <authors>
    <author>89326879</author>
    <author>Barun Chakraborty</author>
  </authors>
  <commentList>
    <comment ref="H25" authorId="0" shapeId="0">
      <text>
        <r>
          <rPr>
            <b/>
            <sz val="9"/>
            <color indexed="81"/>
            <rFont val="Tahoma"/>
            <family val="2"/>
          </rPr>
          <t>89326879:</t>
        </r>
        <r>
          <rPr>
            <sz val="9"/>
            <color indexed="81"/>
            <rFont val="Tahoma"/>
            <family val="2"/>
          </rPr>
          <t xml:space="preserve">
Please select appropriate row for S.No. 1 [(iv-a) or (iv-b) &amp; (viii-a) or (viii-b)] according to actual field condition as per type of soil.</t>
        </r>
      </text>
    </comment>
    <comment ref="J25" authorId="0" shapeId="0">
      <text>
        <r>
          <rPr>
            <b/>
            <sz val="9"/>
            <color indexed="81"/>
            <rFont val="Tahoma"/>
            <family val="2"/>
          </rPr>
          <t>89326879:</t>
        </r>
        <r>
          <rPr>
            <sz val="9"/>
            <color indexed="81"/>
            <rFont val="Tahoma"/>
            <family val="2"/>
          </rPr>
          <t xml:space="preserve">
Please select appropriate row for S.No. 1 [(iv-a) or (iv-b) &amp; (viii-a) or (viii-b)] according to actual field condition as per type of soil.</t>
        </r>
      </text>
    </comment>
    <comment ref="L25" authorId="0" shapeId="0">
      <text>
        <r>
          <rPr>
            <b/>
            <sz val="9"/>
            <color indexed="81"/>
            <rFont val="Tahoma"/>
            <family val="2"/>
          </rPr>
          <t>89326879:</t>
        </r>
        <r>
          <rPr>
            <sz val="9"/>
            <color indexed="81"/>
            <rFont val="Tahoma"/>
            <family val="2"/>
          </rPr>
          <t xml:space="preserve">
Please select appropriate row for S.No. 1 [(iv-a) or (iv-b) &amp; (viii-a) or (viii-b)] according to actual field condition as per type of soil.</t>
        </r>
      </text>
    </comment>
    <comment ref="C135" authorId="1" shapeId="0">
      <text>
        <r>
          <rPr>
            <b/>
            <sz val="9"/>
            <color indexed="81"/>
            <rFont val="Tahoma"/>
            <family val="2"/>
          </rPr>
          <t>Barun Chakraborty:</t>
        </r>
        <r>
          <rPr>
            <sz val="9"/>
            <color indexed="81"/>
            <rFont val="Tahoma"/>
            <family val="2"/>
          </rPr>
          <t xml:space="preserve">
Earlier name was - Transport charges </t>
        </r>
      </text>
    </comment>
  </commentList>
</comments>
</file>

<file path=xl/comments8.xml><?xml version="1.0" encoding="utf-8"?>
<comments xmlns="http://schemas.openxmlformats.org/spreadsheetml/2006/main">
  <authors>
    <author>Barun Chakraborty</author>
    <author>89326879</author>
  </authors>
  <commentList>
    <comment ref="C31" authorId="0" shapeId="0">
      <text>
        <r>
          <rPr>
            <b/>
            <sz val="9"/>
            <color indexed="81"/>
            <rFont val="Tahoma"/>
            <family val="2"/>
          </rPr>
          <t>Barun Chakraborty:</t>
        </r>
        <r>
          <rPr>
            <sz val="9"/>
            <color indexed="81"/>
            <rFont val="Tahoma"/>
            <family val="2"/>
          </rPr>
          <t xml:space="preserve">
Earlier name was - 3 Ø 4 Wire 0.5S with DLMS Protocol category A</t>
        </r>
      </text>
    </comment>
    <comment ref="C92" authorId="0" shapeId="0">
      <text>
        <r>
          <rPr>
            <b/>
            <sz val="9"/>
            <color indexed="81"/>
            <rFont val="Tahoma"/>
            <family val="2"/>
          </rPr>
          <t>Barun Chakraborty:</t>
        </r>
        <r>
          <rPr>
            <sz val="9"/>
            <color indexed="81"/>
            <rFont val="Tahoma"/>
            <family val="2"/>
          </rPr>
          <t xml:space="preserve">
Earlier name was - SUB TOTAL - A (1+2+3)</t>
        </r>
      </text>
    </comment>
    <comment ref="C97" authorId="1" shapeId="0">
      <text>
        <r>
          <rPr>
            <b/>
            <sz val="9"/>
            <color indexed="81"/>
            <rFont val="Tahoma"/>
            <family val="2"/>
          </rPr>
          <t>89326879:</t>
        </r>
        <r>
          <rPr>
            <sz val="9"/>
            <color indexed="81"/>
            <rFont val="Tahoma"/>
            <family val="2"/>
          </rPr>
          <t xml:space="preserve">
Earlier name was - Supply, stacking and spreading of 40 mm nominal size crusher broken hard stone (metal) including all labour, T&amp;P, transportation, loading unloading, royalty, taxes etc. complete and including spreading in 100 mm thick layers complete (Metal measured in stacks will be reduced by 8% for voids).</t>
        </r>
      </text>
    </comment>
    <comment ref="E102" authorId="1" shapeId="0">
      <text>
        <r>
          <rPr>
            <b/>
            <sz val="9"/>
            <color indexed="81"/>
            <rFont val="Tahoma"/>
            <family val="2"/>
          </rPr>
          <t>89326879:</t>
        </r>
        <r>
          <rPr>
            <sz val="9"/>
            <color indexed="81"/>
            <rFont val="Tahoma"/>
            <family val="2"/>
          </rPr>
          <t xml:space="preserve">
Earlier unit taken as Mtr</t>
        </r>
      </text>
    </comment>
  </commentList>
</comments>
</file>

<file path=xl/comments9.xml><?xml version="1.0" encoding="utf-8"?>
<comments xmlns="http://schemas.openxmlformats.org/spreadsheetml/2006/main">
  <authors>
    <author>Barun Chakraborty</author>
  </authors>
  <commentList>
    <comment ref="C54" authorId="0" shapeId="0">
      <text>
        <r>
          <rPr>
            <b/>
            <sz val="9"/>
            <color indexed="81"/>
            <rFont val="Tahoma"/>
            <family val="2"/>
          </rPr>
          <t>Barun Chakraborty:</t>
        </r>
        <r>
          <rPr>
            <sz val="9"/>
            <color indexed="81"/>
            <rFont val="Tahoma"/>
            <family val="2"/>
          </rPr>
          <t xml:space="preserve">
Earlier name was - Transport charges upto 50 Km lead from area stores to construction site for addl. lead refer Schedule T-2. </t>
        </r>
      </text>
    </comment>
  </commentList>
</comments>
</file>

<file path=xl/sharedStrings.xml><?xml version="1.0" encoding="utf-8"?>
<sst xmlns="http://schemas.openxmlformats.org/spreadsheetml/2006/main" count="1436" uniqueCount="642">
  <si>
    <t>COST SCHEDULE   A-1</t>
  </si>
  <si>
    <t>1 KM OF 33 kV LINE ON PCC POLES / H-BEAMS WITH MAXIMUM SPAN OF 100 METERS USING RACCOON CONDUCTOR</t>
  </si>
  <si>
    <t>S No</t>
  </si>
  <si>
    <t>PARTICULARS</t>
  </si>
  <si>
    <t xml:space="preserve">New SAP Bin Code </t>
  </si>
  <si>
    <t>Unit</t>
  </si>
  <si>
    <t>280 Kg; 9.1 Mtr long PCC Pole</t>
  </si>
  <si>
    <t>"H" Beam 152x152mm 37.1 Kg/Mtr 13.0 Mtr</t>
  </si>
  <si>
    <t>365 Kg 11 Mtr long PCC Pole</t>
  </si>
  <si>
    <t>Qty</t>
  </si>
  <si>
    <t xml:space="preserve">Rate </t>
  </si>
  <si>
    <t xml:space="preserve">Amount </t>
  </si>
  <si>
    <t>Rate</t>
  </si>
  <si>
    <t xml:space="preserve">280 Kg; 9.1 Mtr long PCC Pole </t>
  </si>
  <si>
    <t>No</t>
  </si>
  <si>
    <t>2</t>
  </si>
  <si>
    <t xml:space="preserve">H-Beam 152x152 mm 37.1 Kg/Mtr 13 M (482.30 Kg) x 10 No = 4823 Kgs </t>
  </si>
  <si>
    <t>Kg</t>
  </si>
  <si>
    <t>3</t>
  </si>
  <si>
    <t xml:space="preserve">365 Kg; 11 Mtr long PCC Pole </t>
  </si>
  <si>
    <t>33 kV "V" Cross arm 75x75x6 mm</t>
  </si>
  <si>
    <t xml:space="preserve">Back Clamp for Cross Arm </t>
  </si>
  <si>
    <t>(i) Stay Clamp for PCC Pole</t>
  </si>
  <si>
    <t>Pair</t>
  </si>
  <si>
    <t>(ii) Stay Clamp for "H" Beam</t>
  </si>
  <si>
    <t>33 kV Top Clamps</t>
  </si>
  <si>
    <t>Earthing Set (Coil earth as per Drg. No. g/007)</t>
  </si>
  <si>
    <t>33 kV Polymeric Pin insulator with Pin</t>
  </si>
  <si>
    <t>Raccoon ACSR Conductor (80 Sqmm, Al. Eq) with 3% sag</t>
  </si>
  <si>
    <t>Mtr</t>
  </si>
  <si>
    <t xml:space="preserve">Jointing Sleeves suitable ( for 80 Sqmm, Al. Eq. ACSR cond.)   </t>
  </si>
  <si>
    <t>(i) Stay set 20 mm</t>
  </si>
  <si>
    <t>(ii) Stay Clamp For PCC Pole</t>
  </si>
  <si>
    <t>(iii) Stay Clamp For "H" Beam</t>
  </si>
  <si>
    <t>(iv) Stay Wire 7/8 SWG @ 8.5 kg/  stay</t>
  </si>
  <si>
    <t>Concreting of supports @ 0.6 Cmt. Per pole for H-Beam ; @ 0.5 Cmt. Per pole for 365 kG PCC; and @ 0.3 Cmt per stay and @ 0.05 Cmt per pole for base padding for PCC / H-Beam pole. (1:3:6)</t>
  </si>
  <si>
    <t xml:space="preserve">Cmt </t>
  </si>
  <si>
    <t>Material cost including GST and labour.</t>
  </si>
  <si>
    <t xml:space="preserve">Red Oxide Paint </t>
  </si>
  <si>
    <t>Ltr</t>
  </si>
  <si>
    <t xml:space="preserve">Aluminium Paint </t>
  </si>
  <si>
    <t>Barbed Wire (@ 2 Kg/Pole)</t>
  </si>
  <si>
    <t xml:space="preserve">Danger Board </t>
  </si>
  <si>
    <r>
      <t xml:space="preserve">Binding wire and tape                 </t>
    </r>
    <r>
      <rPr>
        <sz val="18"/>
        <rFont val="Arial"/>
        <family val="2"/>
      </rPr>
      <t xml:space="preserve">  </t>
    </r>
  </si>
  <si>
    <t>M.S. Nuts and Bolts</t>
  </si>
  <si>
    <t>16x65 mm</t>
  </si>
  <si>
    <t>16x90 mm</t>
  </si>
  <si>
    <t>16x140 mm</t>
  </si>
  <si>
    <t>16x160 mm</t>
  </si>
  <si>
    <t xml:space="preserve"> Guarding 33 kV </t>
  </si>
  <si>
    <t>Rs</t>
  </si>
  <si>
    <t xml:space="preserve">(i) G.I. Wire 6 SWG </t>
  </si>
  <si>
    <t xml:space="preserve">(ii) G.I. Wire 8 SWG </t>
  </si>
  <si>
    <t xml:space="preserve">(iii) 33 kV guarding channel </t>
  </si>
  <si>
    <t>Set</t>
  </si>
  <si>
    <t>(iv) Stay Clamp Set</t>
  </si>
  <si>
    <t>(v) M.S. Nut &amp; Bolt 16x140 mm</t>
  </si>
  <si>
    <t xml:space="preserve">Kg </t>
  </si>
  <si>
    <t xml:space="preserve">(vi) I--Bolt Big Size </t>
  </si>
  <si>
    <t>(vii) Stay set 20 mm complete</t>
  </si>
  <si>
    <t>(viii) Stay wire 7/8 SWG &amp; 8.5 Kg/stay</t>
  </si>
  <si>
    <t>(ix) M.S.Nuts &amp; Bolts 16x90 mm.</t>
  </si>
  <si>
    <t>SUB TOTAL-1 (Material cost including GST)</t>
  </si>
  <si>
    <t>Material cost excluding GST (Sub Total-1/1.18)</t>
  </si>
  <si>
    <t>NEW ROW ADDED</t>
  </si>
  <si>
    <t>Incidental Charges @ 7.5% on Sub-Total-1 : -</t>
  </si>
  <si>
    <t xml:space="preserve">Earlier name was - Incidental Charges @ 9% </t>
  </si>
  <si>
    <t>Back filling of PCC Pole with boulders @ 0.35 Cmt per pole</t>
  </si>
  <si>
    <t>Labour charges as per Schedule No.- AL-1</t>
  </si>
  <si>
    <t>Labour charges for concreting</t>
  </si>
  <si>
    <t>Cmt</t>
  </si>
  <si>
    <t>Overhead Charges @ 12.5% [Market Fluctuation, Service Tax, Contractor's profit etc.] on Row - 20, 22, 23, 24, 25, 26</t>
  </si>
  <si>
    <t>Total Estimated Cost excluding GST (Row 21, 22, 23, 24, 25, 26, 27)</t>
  </si>
  <si>
    <t>Applicable CGST @ 9% on Row 28</t>
  </si>
  <si>
    <t>Applicable SGST @ 9% on Row 28</t>
  </si>
  <si>
    <t>Total Estimated Cost including GST (Row 28+29+30)</t>
  </si>
  <si>
    <t xml:space="preserve">Total Estimated Cost including GST (Rounded off) </t>
  </si>
  <si>
    <t>Note:-</t>
  </si>
  <si>
    <t>Schedule A-2 (B) is to be supplemented with every 1.0 Km of 33 kV line.</t>
  </si>
  <si>
    <t>All the rates are with considering price variation clause.</t>
  </si>
  <si>
    <t>COST SCHEDULE -- A-3 (A)</t>
  </si>
  <si>
    <t>SCHEDULE  FOR  AUGMENTATION  OF  1 kM  OF  33 kV LINE  FROM  RACCOON  TO  DOG  CONDUCTOR</t>
  </si>
  <si>
    <t>S.No.</t>
  </si>
  <si>
    <t>Particulars</t>
  </si>
  <si>
    <t>Cost per Unit</t>
  </si>
  <si>
    <t xml:space="preserve">Cost </t>
  </si>
  <si>
    <t>ACSR Dog Conductor 100 sq.mm</t>
  </si>
  <si>
    <t>Km</t>
  </si>
  <si>
    <t>Jointing Sleeves suitable for Dog ACSR Conductor</t>
  </si>
  <si>
    <t>Guarding</t>
  </si>
  <si>
    <t>(i) GI Wire 6 SWG</t>
  </si>
  <si>
    <t>(ii) GI Wire 8 SWG</t>
  </si>
  <si>
    <t>(iii) 33 kV Guarding Channel (Set)</t>
  </si>
  <si>
    <t>(iv) M.S Nut &amp; Bolt 16x140 mm.</t>
  </si>
  <si>
    <t>(v) I - Bolt Big Size</t>
  </si>
  <si>
    <t>(vi) Stay Set 20 mm Complete</t>
  </si>
  <si>
    <t>(vii) Stay Wire 7/8 SWG @ 8.5 Kg. Stay</t>
  </si>
  <si>
    <t>(viii) MS Nut &amp; Bolt 16x90 mm</t>
  </si>
  <si>
    <t>Concreting of Stay Set @ 0.3 Cmt per stay (1:3:6)</t>
  </si>
  <si>
    <t>Material cost excluding GST ( Sub Total-1/1.18 )</t>
  </si>
  <si>
    <t>Incidental Charges @ 7.5 % on Sub -  Total-1 : -</t>
  </si>
  <si>
    <t>0.09</t>
  </si>
  <si>
    <t>Returnable cost of old conductor  assuming 25 years of life &amp; 20 years in service</t>
  </si>
  <si>
    <t>COST SCHEDULE  B -1</t>
  </si>
  <si>
    <t>SCHEDULE  FOR  33/11  kV,  3.15 MVA,  1.6 MVA  SUB-STATION  WITH  TWO  BAYS  FOR  OUTGOING  FEEDERS AND  5 MVA  SUB-STATION  WITH  THREE  BAYS  FOR  OUTGOING  FEEDERS  AT  NEW  SITE</t>
  </si>
  <si>
    <t>S. No.</t>
  </si>
  <si>
    <t xml:space="preserve">Rate  </t>
  </si>
  <si>
    <t>Proposed 33/11 kV S/s expandable to 2x1.6 MVA with control room</t>
  </si>
  <si>
    <t>Proposed 33/11 kV S/s expandable to 2x3.15 MVA with control room</t>
  </si>
  <si>
    <t>Proposed 33/11 kV S/s expandable to 2x5 MVA with control room</t>
  </si>
  <si>
    <t>Qty.</t>
  </si>
  <si>
    <t>LAND AND CIVIL WORKS (Rate as per SoR PWD)</t>
  </si>
  <si>
    <t xml:space="preserve">i </t>
  </si>
  <si>
    <t>Construction of 1.5 Mtr high barbed wire fencing in angle iron post as per given drawing including all labour, T&amp;P, curing, materials, transportation, loading, unloading, royalty, taxes etc. complete.</t>
  </si>
  <si>
    <t>ii</t>
  </si>
  <si>
    <t>Job</t>
  </si>
  <si>
    <t>iii</t>
  </si>
  <si>
    <t>Construction of A1 type Control Room with toilet as per Drg. No. 04-01/AR/24-R2 date 13.06.2007 including all taxes royalty, T&amp;P, materials, labours, transportation etc. complete.</t>
  </si>
  <si>
    <t>iv (a)</t>
  </si>
  <si>
    <r>
      <t>Construction of 2.4 Mtr high Chain link wire mesh fencing on Hard Soil or Hard Moorum as per given drawing including all labour, T&amp;P, curing,</t>
    </r>
    <r>
      <rPr>
        <sz val="11"/>
        <color indexed="10"/>
        <rFont val="Arial"/>
        <family val="2"/>
      </rPr>
      <t xml:space="preserve"> </t>
    </r>
    <r>
      <rPr>
        <sz val="11"/>
        <rFont val="Arial"/>
        <family val="2"/>
      </rPr>
      <t xml:space="preserve">materials, transportation, loading, unloading, royalty, taxes etc. complete. </t>
    </r>
  </si>
  <si>
    <t>M</t>
  </si>
  <si>
    <t>iv (b)</t>
  </si>
  <si>
    <r>
      <t>Construction of 2.4 Mtr high Chain link wire mesh fencing on Black Cotton Soil as per given drawing including all labour, T&amp;P, curing,</t>
    </r>
    <r>
      <rPr>
        <sz val="11"/>
        <color indexed="10"/>
        <rFont val="Arial"/>
        <family val="2"/>
      </rPr>
      <t xml:space="preserve"> </t>
    </r>
    <r>
      <rPr>
        <sz val="11"/>
        <rFont val="Arial"/>
        <family val="2"/>
      </rPr>
      <t xml:space="preserve">materials, transportation, loading, unloading, royalty, taxes etc. complete. </t>
    </r>
  </si>
  <si>
    <t>v</t>
  </si>
  <si>
    <t xml:space="preserve">Construction of 4.50 m x 2.15 m size yard / area gate as per given drawing including all labour, T&amp;P, curing, materials, transportation, loading, unloading, royalty, taxes etc. complete. </t>
  </si>
  <si>
    <t>Each</t>
  </si>
  <si>
    <t>vi</t>
  </si>
  <si>
    <r>
      <rPr>
        <sz val="11"/>
        <color indexed="8"/>
        <rFont val="Arial"/>
        <family val="2"/>
      </rPr>
      <t>Providing and filling in plinth with sand  / crusher dust and hard moorum under floor in layers not exceeding 20 cm  in depth consolidating each deposited layer by ramming and watering with a lead upto 50 M and lift upto 1.5 M.</t>
    </r>
    <r>
      <rPr>
        <b/>
        <sz val="11"/>
        <color indexed="12"/>
        <rFont val="Arial"/>
        <family val="2"/>
      </rPr>
      <t xml:space="preserve"> </t>
    </r>
    <r>
      <rPr>
        <b/>
        <sz val="11"/>
        <rFont val="Arial"/>
        <family val="2"/>
      </rPr>
      <t>(Moorum measured in stacks will be reduced by 16% for voids).</t>
    </r>
  </si>
  <si>
    <t>NAME CHANGED</t>
  </si>
  <si>
    <t>vii</t>
  </si>
  <si>
    <t>Supply, stacking and spreading of 40 mm nominal size crusher broken hard stone (metal) including all labour, T&amp;P, transportation, loading unloading, royalty, taxes etc. complete (Metal measured in stacks will be reduced by 8% for voids).</t>
  </si>
  <si>
    <t>Cu. M</t>
  </si>
  <si>
    <t>viii (a)</t>
  </si>
  <si>
    <t>viii (b)</t>
  </si>
  <si>
    <t>ix</t>
  </si>
  <si>
    <t xml:space="preserve">Construction of 7.50 M long 600 mm internal dia. NP-3 Hume pipe culvert as per given drawing including all labour,  T&amp;P, curing, materials, transportation, loading, unloading, royalty taxes etc. complete. </t>
  </si>
  <si>
    <t>No.</t>
  </si>
  <si>
    <t>x</t>
  </si>
  <si>
    <t xml:space="preserve">Construction of 1.0 M high (from G.L.) brick masonary retaining wall as per given drawing including all labour, material, T&amp;P, curing, transportation, loading, unloading, royalty taxes etc. complete. </t>
  </si>
  <si>
    <t>RM</t>
  </si>
  <si>
    <t>Please select appropriate row for S.No. 1 [(iv-a) or (iv-b) &amp; (viii-a) or (viii-b)] according to actual field condition as per type of soil.</t>
  </si>
  <si>
    <t>xi</t>
  </si>
  <si>
    <t>Providing filling and compacting local earth (from approved source pit) in layers not exceeding 20 cm in depth consolidating each deposited layer by ramming and watering, including dressing etc. complete</t>
  </si>
  <si>
    <t>xii</t>
  </si>
  <si>
    <t>Sub total-1</t>
  </si>
  <si>
    <t>EQUIPMENTS</t>
  </si>
  <si>
    <t xml:space="preserve">33/11 kV transformer 1.60 MVA </t>
  </si>
  <si>
    <t>--</t>
  </si>
  <si>
    <t xml:space="preserve">33/11 kV transformer 3.15 MVA </t>
  </si>
  <si>
    <t xml:space="preserve">33/11 kV transformer 5.00 MVA </t>
  </si>
  <si>
    <t>33 kV VCB (With CT's &amp; panel)</t>
  </si>
  <si>
    <t>(i) 33 kV VCB (Without CT's &amp; Panel)</t>
  </si>
  <si>
    <t xml:space="preserve">(ii) 33 kV Control Panel </t>
  </si>
  <si>
    <t>(iii) 33 kV CT's (200-100/5-5) Amps</t>
  </si>
  <si>
    <t>11 kV VCB for X'mer protection (With CTs &amp; panel)</t>
  </si>
  <si>
    <t>(i) 11 kV VCB (Without CT's &amp; Panel)</t>
  </si>
  <si>
    <t xml:space="preserve">(ii) 11 kV Control Panel for Transformer Protection </t>
  </si>
  <si>
    <t xml:space="preserve">(iii) 11 kV CT's 300-150/5 Amps </t>
  </si>
  <si>
    <t>iv</t>
  </si>
  <si>
    <t>11 kV VCB for feeder protection with CTs &amp; panel.</t>
  </si>
  <si>
    <t>(i) 11 kV VCB with Relay &amp; Control Panel</t>
  </si>
  <si>
    <t>7131941762+7131960008=7131960497</t>
  </si>
  <si>
    <t>(ii) 11 kV CT's 200-100/5 Amps</t>
  </si>
  <si>
    <t>33 kV Isolator (600 A.) Set without earth switch</t>
  </si>
  <si>
    <t>11 kV Isolator (600 A.) (including 2 Nos. for capacitor bank) Set</t>
  </si>
  <si>
    <t xml:space="preserve">33 kV DO Fuse unit </t>
  </si>
  <si>
    <t>viii</t>
  </si>
  <si>
    <t xml:space="preserve">11 kV DO Fuse unit </t>
  </si>
  <si>
    <t>33 kV Polymer Lightning Arrestors</t>
  </si>
  <si>
    <t>11 kV Polymer Lightning Arrestors</t>
  </si>
  <si>
    <t xml:space="preserve">33 kV AB Switch </t>
  </si>
  <si>
    <t xml:space="preserve">11 kV AB Switch </t>
  </si>
  <si>
    <t>xiii</t>
  </si>
  <si>
    <t>Single phase 33 kV PT</t>
  </si>
  <si>
    <t>xiv</t>
  </si>
  <si>
    <t>33 kV CTPT Unit 200-100/5 A</t>
  </si>
  <si>
    <t>xv</t>
  </si>
  <si>
    <t>11 kV CTPT Unit 200-100/5 A</t>
  </si>
  <si>
    <t>xvi</t>
  </si>
  <si>
    <t xml:space="preserve">Single phase 11 kV PT's </t>
  </si>
  <si>
    <t>xvii</t>
  </si>
  <si>
    <t>LT Meter (CT Operated) 100/5 A with CT's</t>
  </si>
  <si>
    <t>(i) LT Meter (CT Operated) 100/5 A</t>
  </si>
  <si>
    <t>(ii) LT CT 100/5 A</t>
  </si>
  <si>
    <t>xviii</t>
  </si>
  <si>
    <r>
      <t>H.T. STATIC TRIVECTOR METERS</t>
    </r>
    <r>
      <rPr>
        <b/>
        <sz val="11"/>
        <rFont val="Arial"/>
        <family val="2"/>
      </rPr>
      <t xml:space="preserve"> </t>
    </r>
  </si>
  <si>
    <t>3 Ø 4 Wire 0.5S, 5 Amp. with DLMS Protocol category A</t>
  </si>
  <si>
    <t>xix</t>
  </si>
  <si>
    <t>Lead Acid Battery with automatic charger</t>
  </si>
  <si>
    <t xml:space="preserve">(i) Battery </t>
  </si>
  <si>
    <t>(ii) Battery Charger</t>
  </si>
  <si>
    <t>xx</t>
  </si>
  <si>
    <t>33/0.4 kV station transformer (50 kVA)</t>
  </si>
  <si>
    <t>xxi</t>
  </si>
  <si>
    <r>
      <t xml:space="preserve">Energy efficient 11/0.4 kV station transformer (100 kVA) [LEVEL-2] </t>
    </r>
    <r>
      <rPr>
        <sz val="12"/>
        <rFont val="Arial"/>
        <family val="2"/>
      </rPr>
      <t>*</t>
    </r>
  </si>
  <si>
    <t>xxii</t>
  </si>
  <si>
    <t>LT Distribution box for 63 kVA X'mer</t>
  </si>
  <si>
    <t>xxiii</t>
  </si>
  <si>
    <t>LT Distribution box for 100 kVA X'mer</t>
  </si>
  <si>
    <t>xxiv</t>
  </si>
  <si>
    <t xml:space="preserve">11 Mtr long 152 x 152 mm H-Beam (37.1 Kg/ Mtr weight) i.e.  37.1x11 mtr =408.1 Kg/pole x 6 Nos = 2448.6 Kgs </t>
  </si>
  <si>
    <t>xxv</t>
  </si>
  <si>
    <t xml:space="preserve">Control cable </t>
  </si>
  <si>
    <t>a</t>
  </si>
  <si>
    <t>8 Core  2.5 Sqmm. (unarmoured)</t>
  </si>
  <si>
    <t>Mtr.</t>
  </si>
  <si>
    <t>b</t>
  </si>
  <si>
    <t>4 Core  2.5 Sqmm. (unarmoured)</t>
  </si>
  <si>
    <t>c</t>
  </si>
  <si>
    <t>2 Core  2.5 Sqmm. (unarmoured)</t>
  </si>
  <si>
    <t>xxvi</t>
  </si>
  <si>
    <t xml:space="preserve">Tee Clamp for Dog Conductor  </t>
  </si>
  <si>
    <t>xxvii</t>
  </si>
  <si>
    <t>Danger Board for 33 kV &amp; 11 kV equipment / supply pole</t>
  </si>
  <si>
    <t>xxviii</t>
  </si>
  <si>
    <t xml:space="preserve">60 Kg/Mtr 13.0 Mtr long Rails (60*5 = 300 Kg each) </t>
  </si>
  <si>
    <t>xxix</t>
  </si>
  <si>
    <t>Marshelling Box (with 10 No. connectors)</t>
  </si>
  <si>
    <t>xxx</t>
  </si>
  <si>
    <t>Sub-total - 2</t>
  </si>
  <si>
    <t>STRUCTURE AND BUS BAR ARRANGEMENTS: -</t>
  </si>
  <si>
    <t>i</t>
  </si>
  <si>
    <t xml:space="preserve">8 Mtr long 152 x 152 mm H-Beam (37.1 Kg/ Mtr weight) i.e.  37.1x8 mtr =296.8 kg/pole x 10 Nos = 2968 Kgs. </t>
  </si>
  <si>
    <t xml:space="preserve">7 Mtr long 152 x 152 mm H-Beam (37.1 Kg/ Mtr weight) i.e. 37.1x7mtr = 259.7 Kg/pole x 4 Nos = 1038.8 Kgs. </t>
  </si>
  <si>
    <t xml:space="preserve">11 Mtr long 152 x 152 mm H-Beam (37.1 Kg/ Mtr weight) i.e.  37.1x11 mtr =408.1 Kg/pole x 8 Nos = 3264.8 Kgs </t>
  </si>
  <si>
    <t>MS DC Cross arm (100 x 50 x 6 mm Channel) 5.2 Mtr long Set</t>
  </si>
  <si>
    <t>MS DC Cross arm (100 x 50 x 6 mm Channel) 3.8 Mtr long Set</t>
  </si>
  <si>
    <t>MS DC Cross arm (100 x 50 x 6 mm Channel) 2.7 Mtr long Set</t>
  </si>
  <si>
    <t>11 kV DO fuse &amp; LA mounting DC Cross arm (75x40 mm)</t>
  </si>
  <si>
    <t xml:space="preserve">R.S. Joist (175x85 mm) </t>
  </si>
  <si>
    <t>ACSR conductor 100 Sqmm Al Eq. (Dog)</t>
  </si>
  <si>
    <t>33 kV Polymeric Pin Insulator with Pin</t>
  </si>
  <si>
    <t xml:space="preserve">11 kV Polymeric Pin Insulator with Pin </t>
  </si>
  <si>
    <t>Polymer Disc Insulator for 33 kV Side</t>
  </si>
  <si>
    <t>33 kV Strain Hardware fitting</t>
  </si>
  <si>
    <t>Polymer Disc insulator for 11 kV side (double disc)</t>
  </si>
  <si>
    <t>33 kV Strain Plate 8 mm thick</t>
  </si>
  <si>
    <t>Sub-total - 3</t>
  </si>
  <si>
    <t>OTHER MISCELLANEOUS ITEMS: -</t>
  </si>
  <si>
    <t>Concreting of structures &amp; foundation (1:3:6)</t>
  </si>
  <si>
    <t xml:space="preserve"> PVC insulated Single Core 70 Sqmm  Armoured cable.</t>
  </si>
  <si>
    <t>16 Sqmm 4-core Cable for Switch yard lighting, tripping arrangement &amp; system control (armoured)</t>
  </si>
  <si>
    <t>18 W LED Street Light complete set</t>
  </si>
  <si>
    <t>70 W LED Street Light complete set</t>
  </si>
  <si>
    <t>AC Distribution board for AC/DC Supply</t>
  </si>
  <si>
    <t xml:space="preserve">Fixing of 33/11 kV S/S (Name Plate) Board made up of 2 mm thick MS Sheet of size 5'x8' as per approved drawing. </t>
  </si>
  <si>
    <t>Earthing of Sub-station including Distribution Transformer earthing.</t>
  </si>
  <si>
    <t>LS</t>
  </si>
  <si>
    <t xml:space="preserve">(i) 25 mm dia 2500 mm long GI rod earth electrodes </t>
  </si>
  <si>
    <t>(ii) GI earthing pipe of 40 mm dia. &amp; 2.4 mm thick 3.04 mtr long with 12 mm hole at 18 places at equal distance trapered casing at lower end .</t>
  </si>
  <si>
    <t>(iii) MS flat 50x6 mm size  (2.5 kg per meter)</t>
  </si>
  <si>
    <t xml:space="preserve">(iv) GI wire 8 SWG </t>
  </si>
  <si>
    <t>(v) GI Nuts and bolts 16x40 mm</t>
  </si>
  <si>
    <t>(vi) GI Nuts and bolts 16x65 mm</t>
  </si>
  <si>
    <t>(vii) GI Spring washers</t>
  </si>
  <si>
    <t>MS Nuts &amp; Bolts</t>
  </si>
  <si>
    <t>(i) MS Nuts and bolts 16x40 mm</t>
  </si>
  <si>
    <t>(ii) MS Nuts and bolts 16x65 mm</t>
  </si>
  <si>
    <t>(iii) MS Nuts and bolts 16x90 mm</t>
  </si>
  <si>
    <t>(iv) MS Nuts and bolts 16x160 mm</t>
  </si>
  <si>
    <t>(v) MS Nuts and bolts 16x200 mm</t>
  </si>
  <si>
    <t>(vi) MS Nuts and bolts 16x250 mm</t>
  </si>
  <si>
    <t xml:space="preserve">Furniture </t>
  </si>
  <si>
    <t>(i) Table 4'x2.5'</t>
  </si>
  <si>
    <t>(ii) Chair</t>
  </si>
  <si>
    <t>(iii) Small Steel Almirah 50''</t>
  </si>
  <si>
    <t xml:space="preserve"> Fire fighting equipments </t>
  </si>
  <si>
    <t xml:space="preserve">(i) Fire fighting equipments (dry chemical powder type 5 Kg capacity) </t>
  </si>
  <si>
    <r>
      <t>(ii) Fire fighting equipments CO</t>
    </r>
    <r>
      <rPr>
        <vertAlign val="subscript"/>
        <sz val="11"/>
        <rFont val="Arial"/>
        <family val="2"/>
      </rPr>
      <t>2</t>
    </r>
    <r>
      <rPr>
        <sz val="11"/>
        <rFont val="Arial"/>
        <family val="2"/>
      </rPr>
      <t xml:space="preserve"> fire extinguisher of 2 Kg Capacity)  </t>
    </r>
  </si>
  <si>
    <t xml:space="preserve">Electrically insulated 11 kV mats infront of electrical control panel </t>
  </si>
  <si>
    <t>Sub-total - 4</t>
  </si>
  <si>
    <t>Total material cost including Civil works &amp; GST both</t>
  </si>
  <si>
    <t>Total material cost including Civil works but excluding GST (Row 5 / 1.18)</t>
  </si>
  <si>
    <t>Incidental Charges @ 7.5 % on " Row-5 " above (Row 5 * 0.075)</t>
  </si>
  <si>
    <t>(i)</t>
  </si>
  <si>
    <t xml:space="preserve">Services on S/s earthing </t>
  </si>
  <si>
    <t>(ii)</t>
  </si>
  <si>
    <t>Services on Cable trench (separate trench for power cable &amp; control cable).</t>
  </si>
  <si>
    <t>(iii)</t>
  </si>
  <si>
    <t>Services on Painting of structures</t>
  </si>
  <si>
    <t>(iv)</t>
  </si>
  <si>
    <t xml:space="preserve">Services on Labelling of equipments </t>
  </si>
  <si>
    <t>Labour charges as per sch. (BL-1+BL-3)</t>
  </si>
  <si>
    <t xml:space="preserve">Overhead Charges @ 12.5% [Market Fluctuation, Service Tax, Contractor's profit etc.] on Row - 5, 7, 8 [(i), (ii), (iii), (iv)], 9, 10,  11, </t>
  </si>
  <si>
    <t xml:space="preserve">Total estimated cost of Sub-station (Including Civil works but excluding GST) [Row = 6, 7, 8 [(i), (ii), (iii), (iv)], 9, 10, 11, 12, </t>
  </si>
  <si>
    <t>Total Cost (Rs In lakhs)</t>
  </si>
  <si>
    <t>Applicable CGST @ 9% on Row 13</t>
  </si>
  <si>
    <t>Applicable SGST @ 9% on Row 13</t>
  </si>
  <si>
    <t>Grand Total estimated cost of S/s including GST (Row 13+15+16).</t>
  </si>
  <si>
    <t>Grand Total estimated cost including GST (Rounded off)</t>
  </si>
  <si>
    <t>Grand Total cost (Rs in LAKHS)</t>
  </si>
  <si>
    <t>Note:</t>
  </si>
  <si>
    <t>(1)</t>
  </si>
  <si>
    <t>(2)</t>
  </si>
  <si>
    <r>
      <t xml:space="preserve"> In case of non-availability of H-Beam for structure double welded RS Joist may be used (1) 8 meter long double welded RS Joist and cost of it shall be taken in place of cost of item No.3 (i) unit rate as Rs 10640.00 &amp; quantity should be 10 Nos for 3.15 &amp; 1.6 MVA and 12 Nos for 5 MVA (2) 7 meter long double welded RS Joist and cost of it shall be taken as in place of cost of item No.3 (ii) unit rate as Rs</t>
    </r>
    <r>
      <rPr>
        <sz val="14"/>
        <rFont val="Rupee"/>
      </rPr>
      <t xml:space="preserve"> </t>
    </r>
    <r>
      <rPr>
        <sz val="12"/>
        <rFont val="Arial"/>
        <family val="2"/>
      </rPr>
      <t>9372.00 &amp; quantity should be 04 Nos each for 3.15 &amp; 1.6 MVA and 5 MVA</t>
    </r>
  </si>
  <si>
    <t>(3)</t>
  </si>
  <si>
    <t>The cost of  land is not taken in to account since normally CSPDCL acquires Govt. land at negligible cost. How ever needs to be procure other than Govt. land then should be added actual cost.</t>
  </si>
  <si>
    <t>*</t>
  </si>
  <si>
    <t>ISI Marked Energy Efficiency level-2 transformer</t>
  </si>
  <si>
    <t>COST  SCHEDULE  B-3</t>
  </si>
  <si>
    <t>( 33 kV SUB-STATIONS )</t>
  </si>
  <si>
    <t>SCHEDULE FOR INSTALLATION OF ADDITIONAL TRANSFORMER FOR PARALLEL OPERATION WITH TWO ADDITIONAL BAY ON 11 kV SIDE</t>
  </si>
  <si>
    <t>Qnty</t>
  </si>
  <si>
    <t>Sub-station capacity</t>
  </si>
  <si>
    <t>Reason</t>
  </si>
  <si>
    <t>1.6 MVA</t>
  </si>
  <si>
    <t>3.15 MVA</t>
  </si>
  <si>
    <t>5.0 MVA</t>
  </si>
  <si>
    <t>Power Transformer 33/11 kV</t>
  </si>
  <si>
    <t>Power Transformer 1.6 MVA</t>
  </si>
  <si>
    <t>Power Transformer 3.15 MVA</t>
  </si>
  <si>
    <t>Power Transformer 5 MVA</t>
  </si>
  <si>
    <t>33 kV VCB  with CT's and panels.</t>
  </si>
  <si>
    <t>(i) 33 kV VCB ( without CT's and panels)</t>
  </si>
  <si>
    <t>(ii) 33 kV Control Panel</t>
  </si>
  <si>
    <t>11 kV VCB for X'mer protection with CT's and panels.</t>
  </si>
  <si>
    <t>(i) 11 kV VCB (without CTs &amp; Panel)</t>
  </si>
  <si>
    <t>(ii) 11 kV Control Panel for X-mer Protection</t>
  </si>
  <si>
    <t>(iii) 11 kV CT's 300-150/5 Amps</t>
  </si>
  <si>
    <t>11 kV VCB for feeder protection with  CT's and panels.</t>
  </si>
  <si>
    <t>(ii) 11 kV Control Panel for feeder protection</t>
  </si>
  <si>
    <t>(iii) 11 kV CT's 200-100/5 Amps</t>
  </si>
  <si>
    <t>33 kV DO Fuse Unit</t>
  </si>
  <si>
    <r>
      <t xml:space="preserve">33 kV isolator, 600 A. Without earth switch </t>
    </r>
    <r>
      <rPr>
        <sz val="14"/>
        <rFont val="Arial"/>
        <family val="2"/>
      </rPr>
      <t xml:space="preserve"> </t>
    </r>
  </si>
  <si>
    <t>11 kV isolator, 600 A</t>
  </si>
  <si>
    <t>33 kV Polymer Lightning Arrestor</t>
  </si>
  <si>
    <t>11 kV Polymer Lightning Arrestor</t>
  </si>
  <si>
    <r>
      <t>H.T. STATIC TRIVECTOR METERS</t>
    </r>
    <r>
      <rPr>
        <b/>
        <sz val="10"/>
        <rFont val="Arial"/>
        <family val="2"/>
      </rPr>
      <t xml:space="preserve"> </t>
    </r>
  </si>
  <si>
    <t>33 kV Single Phase PT</t>
  </si>
  <si>
    <t>11 kV Single Phase PT</t>
  </si>
  <si>
    <t>33 kV AB switch</t>
  </si>
  <si>
    <t>11 kV AB switch</t>
  </si>
  <si>
    <t>STRUCTURE AND BUS BAR ARRANGEMENT</t>
  </si>
  <si>
    <t>DO fuse supporting structure set on 7 Mtr long H- Beam 37.1 kg/mtr  33 kV &amp; 11 kV side (2 No. each side)  i.e. 37.1 kg x 7 = 259.7 kg/pole x 4 Nos = 1038.8 Kgs</t>
  </si>
  <si>
    <t>33 kV additional bay ( 02 No H-Beam 152x152 mm 08 mtr long) with 6 Nos, 5.2 Mtr channel</t>
  </si>
  <si>
    <t>(i) H-Beam 152x152 mm 08 mtr long 37.1 kg/mtr i.e.= 296.8 kg/pole x 4 No = 1187.20 Kgs</t>
  </si>
  <si>
    <t xml:space="preserve">(ii) D.C.Cross arm Channel 5.2 mtr 100x50 mm </t>
  </si>
  <si>
    <t>11 kV, 2 Addl. bus bar structure 08 mtr long H- Beam 37.1 Kg/mtr  with 4 Nos, 5.2 Mtr long DC cross arm (100 x 50 mm)</t>
  </si>
  <si>
    <t>(i) H-Beam 152x152 mm 08 mtr long 37.1 kg/mtr i.e.= 296.8 kg/pole x 4 No = 1187.2 Kgs.</t>
  </si>
  <si>
    <t>(ii) H-Beam 152x152 mm 11 mtr long 37.1 kg/mtr i.e.= 408.1 kg/pole x 4 No = 1632.40 Kgs</t>
  </si>
  <si>
    <t>(iii) R.S. Joist (175x85 mm) [ 8x2 Mtr ]</t>
  </si>
  <si>
    <t>(iv) D.C.Cross arm Channel 5.2 mtr 100x50 mm (set)</t>
  </si>
  <si>
    <t>(v) D.C.Cross arm 5 ft. Centre 100x50 mm Channel</t>
  </si>
  <si>
    <t>(vi) D.C.Cross arm 8 ft. Centre 100x50 mm Channel</t>
  </si>
  <si>
    <t>(v)</t>
  </si>
  <si>
    <t>ACSR Dog conductor</t>
  </si>
  <si>
    <t>(vi)</t>
  </si>
  <si>
    <t xml:space="preserve">33 kV Polymeric Pin Insulator with Pin </t>
  </si>
  <si>
    <t>(vii)</t>
  </si>
  <si>
    <t>11 kV Polymeric Pin Insulator with Pin</t>
  </si>
  <si>
    <t>(viii)</t>
  </si>
  <si>
    <t>Strain hardware with strain set suitable for Dog conductor: -</t>
  </si>
  <si>
    <t>(a) 33 kV side with 3 disc insulator per phase.</t>
  </si>
  <si>
    <t>(i) 33 kV Polymer Disc insulator .</t>
  </si>
  <si>
    <t>(ii) 33 kV Strain Hardware</t>
  </si>
  <si>
    <t>(b) 11 kV side with 2 disc insulator per phase.</t>
  </si>
  <si>
    <t xml:space="preserve">(i) 11 kV Polymer Disc insulator </t>
  </si>
  <si>
    <t>(iii) Strain plate 8 mm thick</t>
  </si>
  <si>
    <t>(ix)</t>
  </si>
  <si>
    <r>
      <t xml:space="preserve">T-clamp for jumper connection with AB Switches &amp; DO fuses / Isolator. </t>
    </r>
    <r>
      <rPr>
        <sz val="14"/>
        <rFont val="Arial"/>
        <family val="2"/>
      </rPr>
      <t xml:space="preserve"> </t>
    </r>
  </si>
  <si>
    <t>(x)</t>
  </si>
  <si>
    <t>Stay Clamp for "H" Beam</t>
  </si>
  <si>
    <t>(xi)</t>
  </si>
  <si>
    <t>(xii)</t>
  </si>
  <si>
    <t>OTHER MISCELLANEOUS ITEMS</t>
  </si>
  <si>
    <t>Concreting of structure @ 0.45 Cmt. per bus structure (1:3:6) = 7.2 Cmt for 16 Nos structure.</t>
  </si>
  <si>
    <r>
      <t xml:space="preserve">Concreting of Transformer foundation (1:3:6) = </t>
    </r>
    <r>
      <rPr>
        <b/>
        <sz val="10"/>
        <rFont val="Arial"/>
        <family val="2"/>
      </rPr>
      <t>15 cmt</t>
    </r>
  </si>
  <si>
    <r>
      <t xml:space="preserve">Concreting of 11 kV VCB foundation (1:3:6) = </t>
    </r>
    <r>
      <rPr>
        <b/>
        <sz val="10"/>
        <rFont val="Arial"/>
        <family val="2"/>
      </rPr>
      <t>18 cmt.</t>
    </r>
  </si>
  <si>
    <r>
      <t xml:space="preserve">Concreting of 33 kV VCB foundation (1:3:6) = </t>
    </r>
    <r>
      <rPr>
        <b/>
        <sz val="10"/>
        <rFont val="Arial"/>
        <family val="2"/>
      </rPr>
      <t>7 cmt.</t>
    </r>
  </si>
  <si>
    <t>Control cable for Xmer &amp; VCB</t>
  </si>
  <si>
    <t>a) 8 Core  2.5 Sqmm. (unarmoured)</t>
  </si>
  <si>
    <t>b) 4 Core  2.5 Sqmm. (unarmoured)</t>
  </si>
  <si>
    <t>c) 2 Core 2.5 Sqmm. (unarmoured)</t>
  </si>
  <si>
    <t>Earthing for addl X'mer &amp; VCB</t>
  </si>
  <si>
    <t>Document – As per W/o of G.S. Flat mesh earthing of 33/11 kV S/s as per No. CE/RR/TR/4328/9029  Raipur, Dt. 05/03/2007 (Rate taken from Sch.- III)</t>
  </si>
  <si>
    <r>
      <t xml:space="preserve">(ii) GI Pipe of 40 mm dia </t>
    </r>
    <r>
      <rPr>
        <sz val="10"/>
        <color indexed="10"/>
        <rFont val="Arial"/>
        <family val="2"/>
      </rPr>
      <t xml:space="preserve">2.4 mm thick </t>
    </r>
    <r>
      <rPr>
        <sz val="10"/>
        <rFont val="Arial"/>
        <family val="2"/>
      </rPr>
      <t>3.04 mtr long with 12 mm hole at 18 places at equal distance trapered casing at lower end .</t>
    </r>
  </si>
  <si>
    <t xml:space="preserve">(iii) MS flat 50x6 mm size </t>
  </si>
  <si>
    <t>M.S. Nut- Bolts</t>
  </si>
  <si>
    <t>MS Nuts and bolts 16x40 mm</t>
  </si>
  <si>
    <t>MS Nuts and bolts 16x65 mm</t>
  </si>
  <si>
    <t>MS Nuts and bolts 16x90 mm</t>
  </si>
  <si>
    <t>MS Nuts and bolts 16x160 mm</t>
  </si>
  <si>
    <t>MS Nuts and bolts 16x200 mm</t>
  </si>
  <si>
    <t>MS Nuts and bolts 16x250 mm</t>
  </si>
  <si>
    <t>SUB TOTAL - A (1+2+3) [Material cost including GST]</t>
  </si>
  <si>
    <t>Material cost excluding GST (Sub Total- A / 1.18)</t>
  </si>
  <si>
    <t>Incidental Charges @ 7.5% on Sub-Total - A : -</t>
  </si>
  <si>
    <t>(i) Services on Earthing</t>
  </si>
  <si>
    <t>No. of earthing = 6; services on 6 earthing =6x1943=11658/-</t>
  </si>
  <si>
    <t>(ii) Services on Painting</t>
  </si>
  <si>
    <t>Services on X'mer foundation [2.5(L)*2(W)*3(H)]</t>
  </si>
  <si>
    <t>Services on foundation of 11 kV VCB [2(L)*2(W)*1.5(H)]</t>
  </si>
  <si>
    <t>Services on foundation of 33 kV VCB [2(L)*2(W)*1.75(H)]</t>
  </si>
  <si>
    <t>Construction of brick masonry cable trench with cover</t>
  </si>
  <si>
    <t>Labour charges: -</t>
  </si>
  <si>
    <t>X'mer erection (Labour sch BL-3)</t>
  </si>
  <si>
    <t xml:space="preserve">Other items as per schedule [Labour Schedule BL-2+(4*BL-4)] </t>
  </si>
  <si>
    <t>Overhead Charges @ 12.5% [Market Fluctuation, Service Tax, Contractor's profit etc.] on Row - 4, 6, 7, 8, 9</t>
  </si>
  <si>
    <t>Total Estimated Cost excluding GST (Row 5, 6, 7, 8, 9, 10)</t>
  </si>
  <si>
    <t>Applicable CGST @ 9% on Row 11</t>
  </si>
  <si>
    <t>Applicable SGST @ 9% on Row 11</t>
  </si>
  <si>
    <t>Total estimated cost of S/s including GST (Row 11+12+13).</t>
  </si>
  <si>
    <t>Total estimated cost of S/s including GST  (Rounded off)</t>
  </si>
  <si>
    <t>(1) All the rates are with considering price variation clause.</t>
  </si>
  <si>
    <t>(2) In case of non-availability of H-Beam for structure double welded RS Joist may be used and cost should be taken on actual material used</t>
  </si>
  <si>
    <t>COST  SCHEDULE   B-8</t>
  </si>
  <si>
    <t>AUGMENTATION OF 33/11 kV SUB-STATION CAPACITY  BY REPLACEMENT OF POWER TRANSFORMER</t>
  </si>
  <si>
    <t>1.6 to 3.15 MVA</t>
  </si>
  <si>
    <t>3.15 to 5.0 MVA without 33 kV VCB</t>
  </si>
  <si>
    <t>3.15 to 5.0 MVA with 33 kV VCB</t>
  </si>
  <si>
    <t>33/11 kV 3.15  MVA X-mer</t>
  </si>
  <si>
    <t>33/11 kV 5.0  MVA X-mer</t>
  </si>
  <si>
    <t>33 kV VCB (With CT's and control panel)</t>
  </si>
  <si>
    <t>(i) 33 kV VCB (without CT's and panels)</t>
  </si>
  <si>
    <t>(iii) 33 kV CT's (300-150/5) Amps</t>
  </si>
  <si>
    <t>Concreting of foundation for 33 kV VCB (1:3:6)</t>
  </si>
  <si>
    <t>Control cabling</t>
  </si>
  <si>
    <t xml:space="preserve">Terminal clamp for transformer  </t>
  </si>
  <si>
    <t xml:space="preserve">T-clamps for jumper   </t>
  </si>
  <si>
    <t>Labour charges as per Schedule No BL-8</t>
  </si>
  <si>
    <t>(-) Cost of Old Transformer assuming 25 years of life &amp; 5 years in service.</t>
  </si>
  <si>
    <t xml:space="preserve">Total Estimated Cost of Augmentation including GST (Rounded off) </t>
  </si>
  <si>
    <t>Note:-  All the rates are with considering price variation clause.</t>
  </si>
  <si>
    <t>Transport charges @ 4 % on row no.21</t>
  </si>
  <si>
    <r>
      <t xml:space="preserve">                               </t>
    </r>
    <r>
      <rPr>
        <b/>
        <u/>
        <sz val="14"/>
        <rFont val="Arial"/>
        <family val="2"/>
      </rPr>
      <t>COST SCHEDULE B-4</t>
    </r>
  </si>
  <si>
    <r>
      <t xml:space="preserve">                                             </t>
    </r>
    <r>
      <rPr>
        <b/>
        <u/>
        <sz val="10"/>
        <rFont val="Arial"/>
        <family val="2"/>
      </rPr>
      <t>(33/11 kV SUB-STATIONS)</t>
    </r>
  </si>
  <si>
    <t>11 kV OUT DOOR YARD EXTENSION FOR ADDL. BAY WITH CIRCUIT BREAKER</t>
  </si>
  <si>
    <r>
      <t>Rate</t>
    </r>
    <r>
      <rPr>
        <b/>
        <sz val="10"/>
        <rFont val="Arial"/>
        <family val="2"/>
      </rPr>
      <t xml:space="preserve"> </t>
    </r>
  </si>
  <si>
    <t>1.6 MVA &amp; Above</t>
  </si>
  <si>
    <t>Amount</t>
  </si>
  <si>
    <t xml:space="preserve"> H-Beam 152x152 mm 37.1 kg/mtr 8 Mtr i.e. 296.8 kg/pole x 2 No = 593.6 Kgs                         </t>
  </si>
  <si>
    <t xml:space="preserve">11 Mtr long 152 x 152 mm H-Beam (37.1 Kg/ Mtr weight) i.e. 37.1 x 11 mtr = 408.1 kg/pole x 2 Nos = 816.2 Kgs. </t>
  </si>
  <si>
    <t>MS DC Cross arm (100x50 mm), 5.2 Mtr long for bus bar</t>
  </si>
  <si>
    <t>MS DC Cross arm (100x50 mm), 8' centre for bus bar</t>
  </si>
  <si>
    <t>Strain set with hardware suitable for 100 Sqmm ACSR conductor for 11 kV bus.</t>
  </si>
  <si>
    <t>11 kV Polymer Disc insulator for double disc</t>
  </si>
  <si>
    <t>Hardware suitable for 100 Sqmm ACSR Dog conductor for 11 kV bus.</t>
  </si>
  <si>
    <t>11 kV Polymeric Pin insulator with Pin</t>
  </si>
  <si>
    <t>11 kV Isolator (600 A.)</t>
  </si>
  <si>
    <t>Concreting of structure (1:3:6)</t>
  </si>
  <si>
    <t xml:space="preserve">ACSR 100 Sqmm Al. Eq. Dog Conductor </t>
  </si>
  <si>
    <t xml:space="preserve">Terminal clamp for jumpering of 100 Sqmm Al. Eq  ACSR Conductor / Isolator  </t>
  </si>
  <si>
    <t>11 kV feeder control VCB with CT's (One 11 kV VCB controlling two feeders) with control panel.</t>
  </si>
  <si>
    <t xml:space="preserve"> 11 kV VCB (Without CT's &amp; Panel)</t>
  </si>
  <si>
    <t xml:space="preserve"> 11 kV feeder Control Panel </t>
  </si>
  <si>
    <t xml:space="preserve"> 11 kV CT's 300-150/5 Amps</t>
  </si>
  <si>
    <t xml:space="preserve">(iv) </t>
  </si>
  <si>
    <t>Concreting of foundation of VCB (1:3:6)</t>
  </si>
  <si>
    <t>2 Core 2.5 Sqmm. (unarmoured)</t>
  </si>
  <si>
    <t xml:space="preserve">H.T. STATIC TRIVECTOR METER for feeder metering. </t>
  </si>
  <si>
    <t>11 kV CT/PT unit 200-100/5 Amp.</t>
  </si>
  <si>
    <t xml:space="preserve">M.S. Nuts &amp; Bolts </t>
  </si>
  <si>
    <t>d</t>
  </si>
  <si>
    <t>e</t>
  </si>
  <si>
    <t>f</t>
  </si>
  <si>
    <t>Services on Painting of structure</t>
  </si>
  <si>
    <t>Labour charges</t>
  </si>
  <si>
    <t>as per Schedule No. BL-4</t>
  </si>
  <si>
    <t>for concreting of structure</t>
  </si>
  <si>
    <t>for foundation of VCB</t>
  </si>
  <si>
    <t>Overhead Charges @ 12.5% [Market Fluctuation, Service Tax, Contractor's profit etc.] on Row - 21, 23, 24, 25, 26</t>
  </si>
  <si>
    <t>Total Estimated Cost excluding GST (Row 22, 23, 24, 25, 26, 27)</t>
  </si>
  <si>
    <t>Note :-</t>
  </si>
  <si>
    <t>COST SCHEDULE  B-5</t>
  </si>
  <si>
    <t>(33/11 kV SUB-STATIONS)</t>
  </si>
  <si>
    <t>33 kV  OUT DOOR  YARD  EXTENSION  FOR  ADDITIONAL  BAY.</t>
  </si>
  <si>
    <t>Qnty.</t>
  </si>
  <si>
    <t xml:space="preserve"> H Beam 152x152 mm 37.1 kg/mtr 8 Mtr i.e. 296.8 kg/pole x 2 Nos = 593.6 Kgs</t>
  </si>
  <si>
    <t>MS DC cross arm (100x50 mm), 5.2 Mtr. long for bus bar</t>
  </si>
  <si>
    <t>Strain set with hardware suitable for 80 Sqmm ACSR conductor for 33 kV bus (3 disc insulator per disc)</t>
  </si>
  <si>
    <t>(i) 33 kV Polymer Disc Insulator</t>
  </si>
  <si>
    <t>(ii) 33 kV Hardware</t>
  </si>
  <si>
    <t xml:space="preserve">33 kV Isolator (600 Amps.) without earth switch  </t>
  </si>
  <si>
    <t xml:space="preserve">Terminal clamp for isolators   </t>
  </si>
  <si>
    <t xml:space="preserve">T-clamps for bus jumper  </t>
  </si>
  <si>
    <t>ACSR 100 Sqmm Al. Eq. Conductor</t>
  </si>
  <si>
    <t xml:space="preserve">Services on Painting on structure </t>
  </si>
  <si>
    <t>Labour charges as per Schedule No BL-5</t>
  </si>
  <si>
    <t>Overhead Charges @ 12.5% [Market Fluctuation, Service Tax, Contractor's profit etc.] on Row - 13, 15, 16, 17, 18, 19</t>
  </si>
  <si>
    <t>Total Estimated Cost excluding GST (Row 14, 15, 16, 17, 18, 19, 20)</t>
  </si>
  <si>
    <t>Applicable CGST @ 9% on Row 21</t>
  </si>
  <si>
    <t>Applicable SGST @ 9% on Row 21</t>
  </si>
  <si>
    <t>Total Estimated Cost including GST (Row 21+22+23)</t>
  </si>
  <si>
    <t>Note: -For the provision of 33 kV VCB installation, the cost Schedule No.- B-6 may be referred to. All the rates are with considering price variation clause</t>
  </si>
  <si>
    <t>Labour charges as per Schedule No.- AL-3(A) [New labour schedule introduced]</t>
  </si>
  <si>
    <t>Transport charges @ 4% on Column no. 7</t>
  </si>
  <si>
    <t>Overhead Charges @ 12.5% [Market Fluctuation, Service Tax, Contractor's profit etc.] on Row - 6, 8, 9, 10, 11</t>
  </si>
  <si>
    <t>Total Estimated Cost excluding GST (Row 7, 8, 9, 10, 11, 12)</t>
  </si>
  <si>
    <t>Total Estimated Cost including GST (Row 13+14+15-16)</t>
  </si>
  <si>
    <t>Drilling of 150 mm dia bore well (upto 100 Mtr depth) with 1.5 HP Submersible motor pump and water supply line for switch yard including all taxes, royalty, T&amp;P, materials, labours, transportation etc complete.</t>
  </si>
  <si>
    <r>
      <t xml:space="preserve">Construction of 4.0 Mtr wide Cement Concrete Road on </t>
    </r>
    <r>
      <rPr>
        <b/>
        <sz val="11"/>
        <rFont val="Arial"/>
        <family val="2"/>
      </rPr>
      <t>hard soil or hard moorum as per given drawing</t>
    </r>
    <r>
      <rPr>
        <sz val="11"/>
        <rFont val="Arial"/>
        <family val="2"/>
      </rPr>
      <t xml:space="preserve"> including cost of mixture machine, vibrator, curing all materials, T&amp;P, labour, transportation, loading, unloading, royalty taxes etc. complete.</t>
    </r>
  </si>
  <si>
    <r>
      <t xml:space="preserve">Construction of 4.0 Mtr wide Cement Concrete Road on </t>
    </r>
    <r>
      <rPr>
        <b/>
        <sz val="11"/>
        <rFont val="Arial"/>
        <family val="2"/>
      </rPr>
      <t>black cotton soil as per given drawing</t>
    </r>
    <r>
      <rPr>
        <sz val="11"/>
        <rFont val="Arial"/>
        <family val="2"/>
      </rPr>
      <t xml:space="preserve"> including cost of mixture machine, vibrator, curing all materials, T&amp;P, labour, transportation, loading, unloading, royalty taxes etc. complete.</t>
    </r>
  </si>
  <si>
    <t>Transport charges @ 4% on Column no. 06</t>
  </si>
  <si>
    <t>2022-23</t>
  </si>
  <si>
    <t>Transport charges @ 4% on Column no. 22</t>
  </si>
  <si>
    <t>Transport charges @ 4% on Column no. 14</t>
  </si>
  <si>
    <t>Transport charges @ 4 % on material excluding GST</t>
  </si>
  <si>
    <t xml:space="preserve">Overhead Charges @ 12.5% [Market Fluctuation, Service Tax, Contractor's profit etc.] on Row - 08, 10, 11, 12, 13, </t>
  </si>
  <si>
    <t>Total Estimated Cost excluding GST (Row 09, 10, 11, 12, 13, 14)</t>
  </si>
  <si>
    <t>Applicable CGST @ 9% on Row 15</t>
  </si>
  <si>
    <t>Applicable SGST @ 9% on Row 15</t>
  </si>
  <si>
    <t>Total Estimated Cost of Augmentation including GST (Row 15+16+17-18)</t>
  </si>
  <si>
    <t>COST SCHEDULE - A-3</t>
  </si>
  <si>
    <t>1 KM OF 33 kV LINE ON PCC POLES  / H-BEAM SUPPORT WITH MAXIMUM SPAN OF 100 METERS USING DOG CONDUCTOR</t>
  </si>
  <si>
    <t>"H" Beam 152x152 mm 37.1 Kg/Mtr 13.0 Mtr</t>
  </si>
  <si>
    <t xml:space="preserve">H-Beam 152x152 mm 37.1 Kg/Mtr 13 M (482.30Kg) x 10 No = 4823 Kgs </t>
  </si>
  <si>
    <t>(i) Stay Clamp For PCC Pole</t>
  </si>
  <si>
    <t xml:space="preserve">(ii) Stay Clamp For H-Beam Pole </t>
  </si>
  <si>
    <t>DOG ACSR Conductor (100 Sqmm, Al. Eq) with 3% sag</t>
  </si>
  <si>
    <t xml:space="preserve">Jointing Sleeves (suitable for 100 Sqmm, Al. Eq. ACSR cond.)   </t>
  </si>
  <si>
    <t>Stay set 20 mm</t>
  </si>
  <si>
    <t>Stay Wire 7/8 SWG @ 8.5 kg Per stay</t>
  </si>
  <si>
    <t>Concreting of H-Beam supports @ 0.6 cmt. Per pole and @ 0.3 Cmt per stay and @ 0.05 cmt per pole for base padding for PCC / H- Beam pole  (1:3:6)</t>
  </si>
  <si>
    <t xml:space="preserve">Danger Boards </t>
  </si>
  <si>
    <t xml:space="preserve">Binding wire and tape    </t>
  </si>
  <si>
    <t>16x40 mm</t>
  </si>
  <si>
    <t xml:space="preserve"> Guarding</t>
  </si>
  <si>
    <t xml:space="preserve">(i) GI Wire 6 SWG </t>
  </si>
  <si>
    <t xml:space="preserve">(ii) GI Wire 8 SWG </t>
  </si>
  <si>
    <t xml:space="preserve">(iii) 33 kV Guarding Channel </t>
  </si>
  <si>
    <t xml:space="preserve">(vi) I-Bolt Big Size </t>
  </si>
  <si>
    <t>(viii) Stay wire 7/8 SWG &amp; 8.5 Kg/ stay</t>
  </si>
  <si>
    <t>Labour charges as per Schedule No.- AL-3</t>
  </si>
  <si>
    <t>Transport charges @ 4% on Column no. 23</t>
  </si>
  <si>
    <t>Overhead Charges @ 12.5% [Market Fluctuation, Service Tax, Contractor's profit etc.] on Row - 22, 24, 25, 26, 27, 28</t>
  </si>
  <si>
    <t>Total Estimated Cost excluding GST (Row 23, 24, 25, 26, 27, 28, 29)</t>
  </si>
  <si>
    <t>Applicable CGST @ 9% on Row 30</t>
  </si>
  <si>
    <t>Applicable SGST @ 9% on Row 30</t>
  </si>
  <si>
    <t>Total Estimated Cost including GST (Row 30+31+32)</t>
  </si>
  <si>
    <t>COST SCHEDULE  A-4</t>
  </si>
  <si>
    <t>1 KM OF 33 kV LINE ON 37.1 KG / MTR 13 M. LONG H-BEAM SUSPENSION TYPE WITH PANTHER CONDUCTOR  (WITH MAXIMUM SPAN OF 50 METERS)</t>
  </si>
  <si>
    <t xml:space="preserve">S. No. </t>
  </si>
  <si>
    <t xml:space="preserve">PARTICULARS </t>
  </si>
  <si>
    <t>New Sap Bin Code</t>
  </si>
  <si>
    <t xml:space="preserve">Unit </t>
  </si>
  <si>
    <t>152x152 mm 37.1 Kg/Mtr 13 M (482.30 Kg) long H-Beam</t>
  </si>
  <si>
    <t xml:space="preserve">H-Beam 152x152 mm 37.1 Kg/Mtr 13 M long (482.30 Kg) x 20 No = 9646 Kgs </t>
  </si>
  <si>
    <t>9646</t>
  </si>
  <si>
    <t>DC Cross arm (100x50 mm) Channel 2.4 Mtr. (1.5 X 20 = 30)</t>
  </si>
  <si>
    <t xml:space="preserve">33 kV Suspension Hardware suitable for Panther Conductor (3x20=60)     </t>
  </si>
  <si>
    <t>33 kV Polymer Disc Insulator (9x20=180)</t>
  </si>
  <si>
    <t>Earthing Set (Coil Earth as per Drg. No. G/007)</t>
  </si>
  <si>
    <t xml:space="preserve">ACSR  Panther Conductor with 5% sag  </t>
  </si>
  <si>
    <t xml:space="preserve">Jointing Sleeves suitable for Panther conductor  </t>
  </si>
  <si>
    <t xml:space="preserve">Stay Set 20 mm Complete  </t>
  </si>
  <si>
    <t xml:space="preserve">Set. </t>
  </si>
  <si>
    <t>Stay Wire 7/8 SWG @ 8.5 Kg/Stay</t>
  </si>
  <si>
    <t>Kg.</t>
  </si>
  <si>
    <t>Concreting of H-Beam Supports @ 0.6 Cmt. Per Pole; @ 0.05 Cmt. per Pole for base Padding &amp; @ 0.3 Cmt. Per stay  (1:3:6)</t>
  </si>
  <si>
    <t xml:space="preserve">Cmt. </t>
  </si>
  <si>
    <t>Ltr.</t>
  </si>
  <si>
    <r>
      <t xml:space="preserve">Binding Wire &amp; Tape     </t>
    </r>
    <r>
      <rPr>
        <sz val="14"/>
        <rFont val="Arial"/>
        <family val="2"/>
      </rPr>
      <t xml:space="preserve"> </t>
    </r>
    <r>
      <rPr>
        <sz val="10"/>
        <rFont val="Arial"/>
        <family val="2"/>
      </rPr>
      <t xml:space="preserve">  </t>
    </r>
  </si>
  <si>
    <t xml:space="preserve">MS Nut &amp; Bolts </t>
  </si>
  <si>
    <t xml:space="preserve">16x65 mm </t>
  </si>
  <si>
    <t xml:space="preserve">16x90 mm </t>
  </si>
  <si>
    <t xml:space="preserve">16x140 mm </t>
  </si>
  <si>
    <t xml:space="preserve">16x160 mm </t>
  </si>
  <si>
    <t xml:space="preserve">16x200 mm </t>
  </si>
  <si>
    <t xml:space="preserve">16x250 mm </t>
  </si>
  <si>
    <t xml:space="preserve">MS Angle 65x65x6 for Tie </t>
  </si>
  <si>
    <t>Strain Plate (65x8 mm)</t>
  </si>
  <si>
    <t>Guarding 33 kV for single span</t>
  </si>
  <si>
    <t>(i) G.I. Wire 6 SWG</t>
  </si>
  <si>
    <t>(ii) G.I. Wire 8 SWG</t>
  </si>
  <si>
    <t>(iii) 33 kV Guarding Channel</t>
  </si>
  <si>
    <t>(iv) M.S Nut &amp; Bolt 16x250 mm.</t>
  </si>
  <si>
    <t>(vii) Stay Wire 7/8 SWG &amp; 8.5 Kg. Stay</t>
  </si>
  <si>
    <t>(viii) Stay Clamp for "H" Beam</t>
  </si>
  <si>
    <t>(ix) MS Nut &amp; Bolt 16x90 mm</t>
  </si>
  <si>
    <t xml:space="preserve">Labour Charges per Km as per Schedule - AL-4  </t>
  </si>
  <si>
    <r>
      <t xml:space="preserve">                              </t>
    </r>
    <r>
      <rPr>
        <b/>
        <u/>
        <sz val="14"/>
        <rFont val="Arial"/>
        <family val="2"/>
      </rPr>
      <t>COST SCHEDULE   A-11</t>
    </r>
  </si>
  <si>
    <t>SCHEDULE FOR LAYING OF 1 kM 33 kV CABLE DIRECT IN GROUND SINGLE CABLE LINE USING OPEN TRENCH METHOD</t>
  </si>
  <si>
    <t>3x240 sq.mm AB XLPE Cable</t>
  </si>
  <si>
    <t>3x400 sq.mm AB XLPE Cable</t>
  </si>
  <si>
    <t>33 kV XLPE 240 sqmm 3 core UG Cable</t>
  </si>
  <si>
    <t>33 kV XLPE 400 sqmm 3 core UG Cable</t>
  </si>
  <si>
    <t>Straight through heat shrinkable cable jointing kit with lugs for 3 core 120- 240 sq mm Underground XLPE cable</t>
  </si>
  <si>
    <t>Straight through heat shrinkable cable jointing kit with lugs for 3 core 300- 400 sq mm Underground XLPE cable</t>
  </si>
  <si>
    <t>End terminating jointing kit upto 240 sqmm XLPE cable</t>
  </si>
  <si>
    <t>End terminating jointing kit for 400 sqmm XLPE cable</t>
  </si>
  <si>
    <t>G.I. Pipe 200 mm for 400 sqmm cable of dia 105 mm</t>
  </si>
  <si>
    <t>G.I. Wire 8 SWG (for earthing connect to LA &amp; cable)</t>
  </si>
  <si>
    <t xml:space="preserve">Supplying &amp; erection of cement cable route marker with colour painting &amp; naming the work duly embossed complete size of concrete 600 mm x 225 mm x 100 mm </t>
  </si>
  <si>
    <t xml:space="preserve">Cable covering tiles 250x250x40 mm </t>
  </si>
  <si>
    <t>River Sand (For 10 cm. base &amp; 10 cm. filling of trench above cable &amp; then cable covering tiles over complete length of trench)</t>
  </si>
  <si>
    <t>Aluminium conductor Raccoon for jumpering of L.A.</t>
  </si>
  <si>
    <t>Aluminium T-clamp suitable for Dog / Raccoon conductor for connecting L.A.</t>
  </si>
  <si>
    <t>GI earthing pipe 40 mm dia 3.0 mtr long, 4 mm thick with 12 mm holes at 18 places in each pipe at equal distance tapered casing at lower end.</t>
  </si>
  <si>
    <t>M.S. Nuts &amp; Bolts</t>
  </si>
  <si>
    <t>Fill the appropriate Bin Code</t>
  </si>
  <si>
    <t>Bhatta brick</t>
  </si>
  <si>
    <t>Sundries for meeting out the expenses towards processing fees, submission / approval of drawing using AutoCAD obtaining permission, from Road constructing authorities including liaisoning work etc. [ To be provisioned as per actual requirement ]</t>
  </si>
  <si>
    <t xml:space="preserve">Service in lieu of Earthing Coal &amp; Sand etc </t>
  </si>
  <si>
    <t>Labour charges as per Schedule No.- AL-11 [New labour schedule introduced]</t>
  </si>
  <si>
    <t>Transport charges @ 4% on Column no. 20</t>
  </si>
  <si>
    <t>Overhead Charges @ 12.5% [Market Fluctuation, Service Tax, Contractor's profit etc.] on Row - 19, 21, 22, 23, 24</t>
  </si>
  <si>
    <t>Total Estimated Cost excluding GST (Row 20, 21, 22, 23, 24, 25)</t>
  </si>
  <si>
    <t>Applicable CGST @ 9% on Row 26</t>
  </si>
  <si>
    <t>Applicable SGST @ 9% on Row 26</t>
  </si>
  <si>
    <t xml:space="preserve">Charges payable to Nagar Nigam / Nagar Palika / Nagar Panchayat / Gram Panchayat including supervision charges etc. </t>
  </si>
  <si>
    <t>Total Estimated Cost including GST (Row 26+27+28+29)</t>
  </si>
  <si>
    <t>(a)</t>
  </si>
  <si>
    <t>Cable and accessories size can be replaced as per actual requirement</t>
  </si>
  <si>
    <t xml:space="preserve">(b) </t>
  </si>
  <si>
    <t>When multiple cables have to be laid in the common trench, the following excavation is to be followed-- (i) 1.0 Mtr width x 1.5 Mtr depth for laying of 02 cables; (ii)  1.25 Mtr width x 1.5 Mtr depth for laying of 03 cables; (iii)  1.5 Mtr width x 1.5 Mtr depth for laying of 04 cables and so on.</t>
  </si>
  <si>
    <t>(c)</t>
  </si>
  <si>
    <t>Between two cables, fly ash brick is to be provided as separator</t>
  </si>
  <si>
    <t xml:space="preserve">(d) </t>
  </si>
  <si>
    <t>All other items are to be changed as per size of trench and number of cables in a trench.</t>
  </si>
  <si>
    <t xml:space="preserve">ACTIVITY OF Col. 21 (xi) INCLUDED in (vi) </t>
  </si>
  <si>
    <t>Jumpering of Lightning arrestor and fixing of aluminium clamps</t>
  </si>
  <si>
    <r>
      <t xml:space="preserve">                              </t>
    </r>
    <r>
      <rPr>
        <b/>
        <u/>
        <sz val="14"/>
        <rFont val="Arial"/>
        <family val="2"/>
      </rPr>
      <t>COST SCHEDULE   A-6</t>
    </r>
  </si>
  <si>
    <r>
      <t xml:space="preserve">SCHEDULE FOR 33 kV UNDERGROUND CABLE CROSSING UNDER </t>
    </r>
    <r>
      <rPr>
        <b/>
        <u/>
        <sz val="12"/>
        <color indexed="14"/>
        <rFont val="Arial"/>
        <family val="2"/>
      </rPr>
      <t>EXISTING</t>
    </r>
    <r>
      <rPr>
        <b/>
        <u/>
        <sz val="12"/>
        <rFont val="Arial"/>
        <family val="2"/>
      </rPr>
      <t xml:space="preserve"> RAILWAY TRACK / ROAD FOR </t>
    </r>
    <r>
      <rPr>
        <b/>
        <u/>
        <sz val="12"/>
        <color indexed="10"/>
        <rFont val="Arial"/>
        <family val="2"/>
      </rPr>
      <t>60</t>
    </r>
    <r>
      <rPr>
        <b/>
        <u/>
        <sz val="12"/>
        <rFont val="Arial"/>
        <family val="2"/>
      </rPr>
      <t xml:space="preserve"> MTR. LONG RAIL / ROAD CORRIDOR / ROUTE LENGTH OF HDPE PIPE, UNDER 2.5 MTR. DEEP FROM GROUND LEVEL SINGLE FEEDER LINE.</t>
    </r>
  </si>
  <si>
    <t>Using HDD Technique (for Railway works) on 3x400 sq.mm AB XLPE Cable</t>
  </si>
  <si>
    <t>Using HDD Technique (for Road crossing works) on 3x400 sq.mm AB XLPE Cable</t>
  </si>
  <si>
    <t>HDPE Pipe 200 mm ID; 240 mm OD; 6 Mtr long</t>
  </si>
  <si>
    <t xml:space="preserve">Jointing arrangement of HDPE Pipe </t>
  </si>
  <si>
    <t>GI pipe 200 mm for cable support at D.P.</t>
  </si>
  <si>
    <t>Caping of HDPE Pipe on both end of pipe using circular PVC plate of thickness 10 mm of size equivalent to O.D. of HDPE Pipe and using M-seal to avoid ingrace of moisture, insects, rats etc. to avoid damage to cable.</t>
  </si>
  <si>
    <t>M.S.Flat (50x6) mm</t>
  </si>
  <si>
    <t>kg</t>
  </si>
  <si>
    <t>Sand</t>
  </si>
  <si>
    <t>Aluminium clamp suitable for Dog / Raccoon conductor for connecting L.A</t>
  </si>
  <si>
    <r>
      <t xml:space="preserve">GI earthing pipe 40 mm dia 3.0 mtr long, 4 mm thick with 12 mm holes at 18 places in each pipe at equal distance tapered casing at lower end. </t>
    </r>
    <r>
      <rPr>
        <sz val="14"/>
        <rFont val="Arial"/>
        <family val="2"/>
      </rPr>
      <t>*</t>
    </r>
  </si>
  <si>
    <t>Sundries for meeting out the expenses towards processing fees, submission / approval of drawing using AutoCAD obtaining permission, from railway authorities including liaisoning work etc.</t>
  </si>
  <si>
    <t>Labour Charges for laying of HDPE Pipe (using HDD Technique ** ) as per Schedule AL-5</t>
  </si>
  <si>
    <t xml:space="preserve">Labour Charges for excavation of cable trench beyond the length of HDPE Pipe upto DP Structure </t>
  </si>
  <si>
    <t>CMT</t>
  </si>
  <si>
    <t>Transport charges @ 4% on Column no. 17</t>
  </si>
  <si>
    <t>Overhead Charges @ 12.5% [Market Fluctuation, Service Tax, Contractor's profit etc.] on Row - 16, 18, 19, 20, 21, 22</t>
  </si>
  <si>
    <t>Total Estimated Cost excluding GST (Row 17, 18, 19, 20, 21, 22, 23)</t>
  </si>
  <si>
    <t>Applicable CGST @ 9% on Row 24</t>
  </si>
  <si>
    <t>Applicable SGST @ 9% on Row 24</t>
  </si>
  <si>
    <t>Charges payable to Railway including supervision charges etc. [15% of Col. 24]</t>
  </si>
  <si>
    <t>Municipality Charges payable to Local bodies as per Demand note</t>
  </si>
  <si>
    <t xml:space="preserve">Total Estimated Cost including GST [for Col. 07 = Row 24+25+26+27] &amp; [for Col. 08 = Row 24+25+26+28] </t>
  </si>
  <si>
    <t>4 Nos earthings are required for cable &amp; 6 Nos. for 2 DP's</t>
  </si>
  <si>
    <t>**</t>
  </si>
  <si>
    <t>Horizontal Directional Drilling (HDD) Technique</t>
  </si>
  <si>
    <t xml:space="preserve">This schedule is prepared for 60 Mtr Corridor of Railway / Road crossing. Estimate may be framed as per actual site conditions and actual width of the rail / road corridor. </t>
  </si>
  <si>
    <t>***</t>
  </si>
  <si>
    <t>The charges to be paid for according railway permission shall be made as per actuals i.e. based on the demand note / payment received for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</si>
</sst>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
    <numFmt numFmtId="166" formatCode="0.00000"/>
    <numFmt numFmtId="167" formatCode="0.0000"/>
    <numFmt numFmtId="168" formatCode="0.000000"/>
    <numFmt numFmtId="169" formatCode="_(* #,##0.00_);_(* \(#,##0.00\);_(* &quot;-&quot;??_);_(@_)"/>
  </numFmts>
  <fonts count="58">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u/>
      <sz val="14"/>
      <name val="Arial"/>
      <family val="2"/>
    </font>
    <font>
      <b/>
      <u/>
      <sz val="13"/>
      <name val="Arial"/>
      <family val="2"/>
    </font>
    <font>
      <b/>
      <sz val="12"/>
      <name val="Arial"/>
      <family val="2"/>
    </font>
    <font>
      <b/>
      <u/>
      <sz val="12"/>
      <name val="Arial"/>
      <family val="2"/>
    </font>
    <font>
      <sz val="12"/>
      <name val="Arial"/>
      <family val="2"/>
    </font>
    <font>
      <b/>
      <sz val="10"/>
      <name val="Arial"/>
      <family val="2"/>
    </font>
    <font>
      <sz val="12"/>
      <color indexed="8"/>
      <name val="Arial"/>
      <family val="2"/>
    </font>
    <font>
      <sz val="10"/>
      <name val="Verdana"/>
      <family val="2"/>
    </font>
    <font>
      <sz val="11"/>
      <name val="Arial"/>
      <family val="2"/>
    </font>
    <font>
      <sz val="14"/>
      <name val="Arial"/>
      <family val="2"/>
    </font>
    <font>
      <sz val="18"/>
      <name val="Arial"/>
      <family val="2"/>
    </font>
    <font>
      <b/>
      <sz val="11"/>
      <name val="Arial"/>
      <family val="2"/>
    </font>
    <font>
      <b/>
      <sz val="12"/>
      <color indexed="10"/>
      <name val="Arial"/>
      <family val="2"/>
    </font>
    <font>
      <sz val="10"/>
      <name val="Arial"/>
      <family val="2"/>
    </font>
    <font>
      <b/>
      <sz val="9"/>
      <color indexed="81"/>
      <name val="Tahoma"/>
      <family val="2"/>
    </font>
    <font>
      <sz val="9"/>
      <color indexed="81"/>
      <name val="Tahoma"/>
      <family val="2"/>
    </font>
    <font>
      <b/>
      <sz val="14"/>
      <name val="Copperplate Gothic Bold"/>
      <family val="2"/>
    </font>
    <font>
      <sz val="11"/>
      <name val="Calibri"/>
      <family val="2"/>
    </font>
    <font>
      <b/>
      <u/>
      <sz val="11"/>
      <name val="Arial"/>
      <family val="2"/>
    </font>
    <font>
      <b/>
      <sz val="11"/>
      <name val="Calibri"/>
      <family val="2"/>
    </font>
    <font>
      <sz val="12"/>
      <name val="Rupee"/>
    </font>
    <font>
      <b/>
      <sz val="14"/>
      <name val="Calibri"/>
      <family val="2"/>
    </font>
    <font>
      <b/>
      <i/>
      <sz val="12"/>
      <name val="Arial"/>
      <family val="2"/>
    </font>
    <font>
      <b/>
      <sz val="11.5"/>
      <name val="Arial"/>
      <family val="2"/>
    </font>
    <font>
      <b/>
      <sz val="10.5"/>
      <name val="Arial"/>
      <family val="2"/>
    </font>
    <font>
      <sz val="11"/>
      <color indexed="10"/>
      <name val="Arial"/>
      <family val="2"/>
    </font>
    <font>
      <b/>
      <sz val="10"/>
      <name val="Verdana"/>
      <family val="2"/>
    </font>
    <font>
      <sz val="11"/>
      <color indexed="8"/>
      <name val="Arial"/>
      <family val="2"/>
    </font>
    <font>
      <b/>
      <sz val="11"/>
      <color indexed="12"/>
      <name val="Arial"/>
      <family val="2"/>
    </font>
    <font>
      <sz val="10.5"/>
      <name val="Arial"/>
      <family val="2"/>
    </font>
    <font>
      <sz val="9"/>
      <name val="Verdana"/>
      <family val="2"/>
    </font>
    <font>
      <sz val="11"/>
      <color indexed="9"/>
      <name val="Arial"/>
      <family val="2"/>
    </font>
    <font>
      <vertAlign val="subscript"/>
      <sz val="11"/>
      <name val="Arial"/>
      <family val="2"/>
    </font>
    <font>
      <sz val="9"/>
      <name val="Arial"/>
      <family val="2"/>
    </font>
    <font>
      <sz val="14"/>
      <name val="Rupee"/>
    </font>
    <font>
      <u/>
      <sz val="10"/>
      <name val="Arial"/>
      <family val="2"/>
    </font>
    <font>
      <b/>
      <sz val="11"/>
      <name val="Copperplate Gothic Bold"/>
      <family val="2"/>
    </font>
    <font>
      <b/>
      <u/>
      <sz val="10"/>
      <name val="Arial"/>
      <family val="2"/>
    </font>
    <font>
      <b/>
      <sz val="9"/>
      <name val="Arial"/>
      <family val="2"/>
    </font>
    <font>
      <sz val="10"/>
      <color indexed="8"/>
      <name val="Arial"/>
      <family val="2"/>
    </font>
    <font>
      <sz val="10"/>
      <color indexed="10"/>
      <name val="Arial"/>
      <family val="2"/>
    </font>
    <font>
      <sz val="8"/>
      <name val="Arial"/>
      <family val="2"/>
    </font>
    <font>
      <sz val="8.5"/>
      <name val="Arial"/>
      <family val="2"/>
    </font>
    <font>
      <sz val="11.5"/>
      <name val="Arial"/>
      <family val="2"/>
    </font>
    <font>
      <sz val="11.5"/>
      <color indexed="8"/>
      <name val="Arial"/>
      <family val="2"/>
    </font>
    <font>
      <b/>
      <sz val="9"/>
      <color indexed="81"/>
      <name val="Tahoma"/>
      <charset val="1"/>
    </font>
    <font>
      <sz val="9"/>
      <color indexed="81"/>
      <name val="Tahoma"/>
      <charset val="1"/>
    </font>
    <font>
      <sz val="11"/>
      <color theme="1"/>
      <name val="Arial"/>
      <family val="2"/>
    </font>
    <font>
      <b/>
      <u/>
      <sz val="12"/>
      <color indexed="14"/>
      <name val="Arial"/>
      <family val="2"/>
    </font>
    <font>
      <b/>
      <u/>
      <sz val="12"/>
      <color indexed="10"/>
      <name val="Arial"/>
      <family val="2"/>
    </font>
    <font>
      <sz val="11"/>
      <name val="Verdana"/>
      <family val="2"/>
    </font>
    <font>
      <sz val="16"/>
      <name val="Arial"/>
      <family val="2"/>
    </font>
    <font>
      <b/>
      <sz val="14"/>
      <color indexed="81"/>
      <name val="Arial"/>
      <family val="2"/>
    </font>
  </fonts>
  <fills count="6">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9">
    <xf numFmtId="0" fontId="0" fillId="0" borderId="0"/>
    <xf numFmtId="0" fontId="18" fillId="0" borderId="0"/>
    <xf numFmtId="0" fontId="18" fillId="0" borderId="0"/>
    <xf numFmtId="169" fontId="3" fillId="0" borderId="0" applyFont="0" applyFill="0" applyBorder="0" applyAlignment="0" applyProtection="0"/>
    <xf numFmtId="0" fontId="18" fillId="0" borderId="0"/>
    <xf numFmtId="0" fontId="2" fillId="0" borderId="0"/>
    <xf numFmtId="0" fontId="2" fillId="0" borderId="0"/>
    <xf numFmtId="0" fontId="3" fillId="0" borderId="0"/>
    <xf numFmtId="0" fontId="1" fillId="0" borderId="0"/>
  </cellStyleXfs>
  <cellXfs count="1030">
    <xf numFmtId="0" fontId="0" fillId="0" borderId="0" xfId="0"/>
    <xf numFmtId="49" fontId="0" fillId="0" borderId="0" xfId="0" applyNumberFormat="1" applyFill="1" applyAlignment="1">
      <alignment horizontal="center" wrapText="1"/>
    </xf>
    <xf numFmtId="49" fontId="4" fillId="0" borderId="0" xfId="0" applyNumberFormat="1" applyFont="1" applyFill="1" applyAlignment="1">
      <alignment wrapText="1"/>
    </xf>
    <xf numFmtId="49" fontId="0" fillId="0" borderId="0" xfId="0" applyNumberFormat="1" applyFill="1" applyAlignment="1">
      <alignment wrapText="1"/>
    </xf>
    <xf numFmtId="49" fontId="4" fillId="0" borderId="0" xfId="0" applyNumberFormat="1" applyFont="1" applyFill="1" applyAlignment="1">
      <alignment horizontal="center" wrapText="1"/>
    </xf>
    <xf numFmtId="49" fontId="7" fillId="0" borderId="0" xfId="0" applyNumberFormat="1" applyFont="1" applyFill="1" applyAlignment="1">
      <alignment wrapText="1"/>
    </xf>
    <xf numFmtId="49" fontId="7" fillId="0" borderId="0" xfId="0" applyNumberFormat="1" applyFont="1" applyFill="1" applyAlignment="1">
      <alignment horizontal="center" wrapText="1"/>
    </xf>
    <xf numFmtId="49" fontId="0" fillId="0" borderId="0" xfId="0" applyNumberFormat="1" applyFill="1" applyBorder="1" applyAlignment="1">
      <alignment horizontal="center" wrapText="1"/>
    </xf>
    <xf numFmtId="2" fontId="0" fillId="0" borderId="0" xfId="0" applyNumberFormat="1" applyFill="1" applyBorder="1" applyAlignment="1">
      <alignment wrapText="1"/>
    </xf>
    <xf numFmtId="0" fontId="0" fillId="0" borderId="0" xfId="0" applyNumberFormat="1" applyFill="1" applyBorder="1" applyAlignment="1">
      <alignment horizontal="center" wrapText="1"/>
    </xf>
    <xf numFmtId="2" fontId="0" fillId="0" borderId="0" xfId="0" applyNumberFormat="1" applyFill="1" applyBorder="1" applyAlignment="1">
      <alignment horizontal="right" wrapText="1"/>
    </xf>
    <xf numFmtId="2" fontId="8" fillId="0" borderId="0" xfId="0" applyNumberFormat="1" applyFont="1" applyFill="1" applyBorder="1" applyAlignment="1">
      <alignment horizontal="center" wrapText="1"/>
    </xf>
    <xf numFmtId="2" fontId="7" fillId="0" borderId="0" xfId="0" applyNumberFormat="1" applyFont="1" applyFill="1" applyBorder="1" applyAlignment="1">
      <alignment wrapText="1"/>
    </xf>
    <xf numFmtId="49" fontId="9" fillId="0" borderId="0" xfId="0" applyNumberFormat="1" applyFont="1" applyFill="1" applyAlignment="1">
      <alignment vertical="center" wrapText="1"/>
    </xf>
    <xf numFmtId="2" fontId="7" fillId="0" borderId="1" xfId="0" applyNumberFormat="1" applyFont="1" applyFill="1" applyBorder="1" applyAlignment="1">
      <alignment horizontal="center" vertical="center" wrapText="1"/>
    </xf>
    <xf numFmtId="49" fontId="10" fillId="0" borderId="0" xfId="0" applyNumberFormat="1" applyFont="1" applyFill="1" applyAlignment="1">
      <alignment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0" xfId="0" applyFont="1" applyFill="1" applyBorder="1" applyAlignment="1" applyProtection="1">
      <alignment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0"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2" fontId="9" fillId="2" borderId="5"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0" fontId="9" fillId="2" borderId="2" xfId="0" applyNumberFormat="1" applyFont="1" applyFill="1" applyBorder="1" applyAlignment="1">
      <alignment vertical="center" wrapText="1"/>
    </xf>
    <xf numFmtId="0" fontId="9" fillId="2" borderId="3" xfId="0" applyNumberFormat="1" applyFont="1" applyFill="1" applyBorder="1" applyAlignment="1">
      <alignment vertical="center" wrapText="1"/>
    </xf>
    <xf numFmtId="1" fontId="9" fillId="2" borderId="3"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2" fontId="9" fillId="2" borderId="4"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2" fontId="9" fillId="2" borderId="7"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top" wrapText="1"/>
    </xf>
    <xf numFmtId="49" fontId="9" fillId="0" borderId="0" xfId="0" applyNumberFormat="1" applyFont="1" applyFill="1" applyBorder="1" applyAlignment="1">
      <alignment vertical="center" wrapText="1"/>
    </xf>
    <xf numFmtId="164" fontId="9" fillId="2" borderId="1"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49" fontId="9" fillId="2" borderId="7" xfId="0" applyNumberFormat="1" applyFont="1" applyFill="1" applyBorder="1" applyAlignment="1">
      <alignment vertical="top" wrapText="1"/>
    </xf>
    <xf numFmtId="49" fontId="9" fillId="2" borderId="7"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0" fontId="9" fillId="3" borderId="0" xfId="0" applyFont="1" applyFill="1" applyAlignment="1">
      <alignment vertical="top" wrapText="1"/>
    </xf>
    <xf numFmtId="0" fontId="9" fillId="0" borderId="0" xfId="0" applyFont="1" applyFill="1" applyAlignment="1">
      <alignment vertical="center" wrapText="1"/>
    </xf>
    <xf numFmtId="49" fontId="0" fillId="0" borderId="0" xfId="0" applyNumberFormat="1" applyFill="1" applyAlignment="1">
      <alignment vertical="center" wrapText="1"/>
    </xf>
    <xf numFmtId="49" fontId="13" fillId="0" borderId="0" xfId="0" applyNumberFormat="1" applyFont="1" applyFill="1" applyBorder="1" applyAlignment="1">
      <alignment vertical="center" wrapText="1"/>
    </xf>
    <xf numFmtId="0" fontId="14" fillId="0" borderId="0" xfId="0" applyNumberFormat="1" applyFont="1" applyFill="1" applyAlignment="1">
      <alignment wrapText="1"/>
    </xf>
    <xf numFmtId="49" fontId="7" fillId="2" borderId="1"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49" fontId="17" fillId="0" borderId="0" xfId="0" applyNumberFormat="1" applyFont="1" applyFill="1" applyBorder="1" applyAlignment="1">
      <alignment horizontal="center" wrapText="1"/>
    </xf>
    <xf numFmtId="0" fontId="7" fillId="2" borderId="1" xfId="0" applyNumberFormat="1" applyFont="1" applyFill="1" applyBorder="1" applyAlignment="1">
      <alignment horizontal="center" vertical="top" wrapText="1"/>
    </xf>
    <xf numFmtId="0" fontId="7" fillId="2" borderId="1" xfId="0" applyNumberFormat="1" applyFont="1" applyFill="1" applyBorder="1" applyAlignment="1">
      <alignment vertical="center" wrapText="1"/>
    </xf>
    <xf numFmtId="0" fontId="7" fillId="2" borderId="1" xfId="0" applyNumberFormat="1" applyFont="1" applyFill="1" applyBorder="1" applyAlignment="1">
      <alignment horizontal="center" vertical="center" wrapText="1"/>
    </xf>
    <xf numFmtId="2" fontId="7" fillId="2" borderId="2" xfId="0" applyNumberFormat="1" applyFont="1" applyFill="1" applyBorder="1" applyAlignment="1">
      <alignment horizontal="center" vertical="center" wrapText="1"/>
    </xf>
    <xf numFmtId="2" fontId="0" fillId="0" borderId="0" xfId="0" applyNumberFormat="1" applyFill="1" applyAlignment="1">
      <alignment wrapText="1"/>
    </xf>
    <xf numFmtId="0" fontId="0" fillId="0" borderId="0" xfId="0" applyNumberFormat="1" applyFill="1" applyAlignment="1">
      <alignment wrapText="1"/>
    </xf>
    <xf numFmtId="0" fontId="7" fillId="2" borderId="2" xfId="0" applyNumberFormat="1" applyFont="1" applyFill="1" applyBorder="1" applyAlignment="1">
      <alignment horizontal="center" vertical="center" wrapText="1"/>
    </xf>
    <xf numFmtId="49" fontId="9" fillId="3" borderId="0" xfId="0" applyNumberFormat="1" applyFont="1" applyFill="1" applyBorder="1" applyAlignment="1">
      <alignment vertical="center" wrapText="1"/>
    </xf>
    <xf numFmtId="0" fontId="9" fillId="2" borderId="1" xfId="0" applyNumberFormat="1" applyFont="1" applyFill="1" applyBorder="1" applyAlignment="1">
      <alignment vertical="center" wrapText="1"/>
    </xf>
    <xf numFmtId="165" fontId="9" fillId="2" borderId="1" xfId="0" applyNumberFormat="1" applyFont="1" applyFill="1" applyBorder="1" applyAlignment="1">
      <alignment horizontal="center" vertical="center" wrapText="1"/>
    </xf>
    <xf numFmtId="49" fontId="18" fillId="3" borderId="0" xfId="0" applyNumberFormat="1" applyFont="1" applyFill="1" applyBorder="1" applyAlignment="1">
      <alignment vertical="center" wrapText="1"/>
    </xf>
    <xf numFmtId="2" fontId="9" fillId="0" borderId="0" xfId="0" applyNumberFormat="1" applyFont="1" applyFill="1" applyBorder="1" applyAlignment="1">
      <alignment horizontal="center" vertical="center" wrapText="1"/>
    </xf>
    <xf numFmtId="0" fontId="16" fillId="0" borderId="0" xfId="0" applyFont="1" applyFill="1" applyBorder="1" applyAlignment="1">
      <alignment vertical="center" wrapText="1"/>
    </xf>
    <xf numFmtId="49" fontId="7" fillId="2" borderId="1" xfId="0" quotePrefix="1" applyNumberFormat="1" applyFont="1" applyFill="1" applyBorder="1" applyAlignment="1">
      <alignment horizontal="center" vertical="center" wrapText="1"/>
    </xf>
    <xf numFmtId="49" fontId="7" fillId="0" borderId="0" xfId="0" applyNumberFormat="1" applyFont="1" applyFill="1" applyAlignment="1">
      <alignment vertical="center" wrapText="1"/>
    </xf>
    <xf numFmtId="0" fontId="9" fillId="2" borderId="5" xfId="0" applyFont="1" applyFill="1" applyBorder="1" applyAlignment="1">
      <alignment horizontal="left" vertical="center" wrapText="1"/>
    </xf>
    <xf numFmtId="0" fontId="9" fillId="2"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7" fillId="0" borderId="0" xfId="0" applyNumberFormat="1" applyFont="1" applyFill="1" applyBorder="1" applyAlignment="1">
      <alignment horizontal="left" vertical="center"/>
    </xf>
    <xf numFmtId="49" fontId="13" fillId="0" borderId="0" xfId="0" applyNumberFormat="1" applyFont="1" applyFill="1" applyAlignment="1">
      <alignment horizontal="center" vertical="center" wrapText="1"/>
    </xf>
    <xf numFmtId="0" fontId="18" fillId="0" borderId="0" xfId="0" applyFont="1" applyFill="1" applyBorder="1" applyAlignment="1">
      <alignment horizontal="center" vertical="center"/>
    </xf>
    <xf numFmtId="49" fontId="7" fillId="2" borderId="1" xfId="0" applyNumberFormat="1" applyFont="1" applyFill="1" applyBorder="1" applyAlignment="1">
      <alignment vertical="center" wrapText="1"/>
    </xf>
    <xf numFmtId="0" fontId="9" fillId="0" borderId="0" xfId="0" applyFont="1" applyFill="1" applyBorder="1" applyAlignment="1">
      <alignment vertical="center"/>
    </xf>
    <xf numFmtId="166" fontId="18" fillId="0" borderId="0" xfId="0" applyNumberFormat="1" applyFont="1" applyFill="1" applyBorder="1" applyAlignment="1">
      <alignment vertical="center"/>
    </xf>
    <xf numFmtId="0" fontId="9" fillId="0" borderId="8" xfId="0" applyFont="1" applyFill="1" applyBorder="1" applyAlignment="1">
      <alignment vertical="center" wrapText="1"/>
    </xf>
    <xf numFmtId="0" fontId="9"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xf>
    <xf numFmtId="1" fontId="9" fillId="0" borderId="0" xfId="0" applyNumberFormat="1" applyFont="1" applyFill="1" applyBorder="1" applyAlignment="1">
      <alignment horizontal="center" wrapText="1"/>
    </xf>
    <xf numFmtId="1" fontId="9" fillId="0" borderId="0" xfId="0" applyNumberFormat="1" applyFont="1" applyFill="1" applyBorder="1" applyAlignment="1">
      <alignment wrapText="1"/>
    </xf>
    <xf numFmtId="49" fontId="9" fillId="0" borderId="0" xfId="0" applyNumberFormat="1" applyFont="1" applyFill="1" applyAlignment="1">
      <alignment horizontal="center" vertical="center" wrapText="1"/>
    </xf>
    <xf numFmtId="1" fontId="9" fillId="0" borderId="0" xfId="0" applyNumberFormat="1" applyFont="1" applyFill="1" applyBorder="1" applyAlignment="1">
      <alignment horizontal="center" vertical="center" wrapText="1"/>
    </xf>
    <xf numFmtId="0" fontId="0" fillId="0" borderId="0" xfId="0" applyNumberFormat="1" applyFill="1" applyAlignment="1">
      <alignment horizontal="center" wrapText="1"/>
    </xf>
    <xf numFmtId="2" fontId="0" fillId="0" borderId="0" xfId="0" applyNumberFormat="1" applyFill="1" applyAlignment="1">
      <alignment horizontal="right" wrapText="1"/>
    </xf>
    <xf numFmtId="2" fontId="7" fillId="0" borderId="0" xfId="0" applyNumberFormat="1" applyFont="1" applyFill="1" applyAlignment="1">
      <alignment horizontal="center" wrapText="1"/>
    </xf>
    <xf numFmtId="167" fontId="7" fillId="0" borderId="0" xfId="0" applyNumberFormat="1" applyFont="1" applyFill="1" applyAlignment="1">
      <alignment horizontal="center" wrapText="1"/>
    </xf>
    <xf numFmtId="0" fontId="0" fillId="0" borderId="0" xfId="0" applyFill="1" applyAlignment="1">
      <alignment horizontal="center"/>
    </xf>
    <xf numFmtId="49" fontId="4" fillId="0" borderId="0" xfId="1" applyNumberFormat="1" applyFont="1" applyFill="1" applyAlignment="1">
      <alignment wrapText="1"/>
    </xf>
    <xf numFmtId="49" fontId="21" fillId="0" borderId="0" xfId="1" applyNumberFormat="1" applyFont="1" applyFill="1" applyAlignment="1">
      <alignment wrapText="1"/>
    </xf>
    <xf numFmtId="0" fontId="22" fillId="0" borderId="0" xfId="0" applyFont="1" applyFill="1"/>
    <xf numFmtId="0" fontId="0" fillId="0" borderId="0" xfId="0" applyFill="1"/>
    <xf numFmtId="49" fontId="4" fillId="0" borderId="0" xfId="1" applyNumberFormat="1" applyFont="1" applyFill="1" applyAlignment="1">
      <alignment horizont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13" fillId="2" borderId="1" xfId="0" applyFont="1" applyFill="1" applyBorder="1" applyAlignment="1">
      <alignment horizontal="center" vertical="top"/>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2"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xf>
    <xf numFmtId="0" fontId="24" fillId="0" borderId="0" xfId="0" applyFont="1" applyFill="1" applyAlignment="1">
      <alignment vertical="center"/>
    </xf>
    <xf numFmtId="49" fontId="13" fillId="2" borderId="1" xfId="0" applyNumberFormat="1" applyFont="1" applyFill="1" applyBorder="1" applyAlignment="1">
      <alignment vertical="top" wrapText="1"/>
    </xf>
    <xf numFmtId="0" fontId="13" fillId="2" borderId="1" xfId="0" applyNumberFormat="1" applyFont="1" applyFill="1" applyBorder="1" applyAlignment="1">
      <alignment horizontal="center" vertical="top" wrapText="1"/>
    </xf>
    <xf numFmtId="49" fontId="13" fillId="2" borderId="1" xfId="0" applyNumberFormat="1" applyFont="1" applyFill="1" applyBorder="1" applyAlignment="1">
      <alignment horizontal="center" vertical="top" wrapText="1"/>
    </xf>
    <xf numFmtId="2" fontId="13" fillId="2" borderId="1" xfId="0" applyNumberFormat="1" applyFont="1" applyFill="1" applyBorder="1" applyAlignment="1">
      <alignment horizontal="center" vertical="top" wrapText="1"/>
    </xf>
    <xf numFmtId="2" fontId="13" fillId="2" borderId="1" xfId="0" applyNumberFormat="1" applyFont="1" applyFill="1" applyBorder="1" applyAlignment="1">
      <alignment horizontal="center" vertical="top"/>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4" fillId="0" borderId="0" xfId="0" applyFont="1" applyFill="1" applyBorder="1" applyAlignment="1">
      <alignment vertical="center"/>
    </xf>
    <xf numFmtId="0" fontId="13" fillId="2" borderId="0" xfId="0" applyFont="1" applyFill="1" applyAlignment="1">
      <alignment horizontal="center"/>
    </xf>
    <xf numFmtId="0" fontId="16" fillId="2" borderId="1" xfId="0" applyFont="1" applyFill="1" applyBorder="1" applyAlignment="1">
      <alignment horizontal="center" vertical="top"/>
    </xf>
    <xf numFmtId="0" fontId="16" fillId="2" borderId="1" xfId="0" applyNumberFormat="1" applyFont="1" applyFill="1" applyBorder="1" applyAlignment="1">
      <alignment vertical="center" wrapText="1"/>
    </xf>
    <xf numFmtId="0" fontId="16" fillId="2" borderId="1" xfId="0" applyFont="1" applyFill="1" applyBorder="1" applyAlignment="1">
      <alignment horizontal="center" vertical="center"/>
    </xf>
    <xf numFmtId="0" fontId="25" fillId="2" borderId="1" xfId="0" applyFont="1" applyFill="1" applyBorder="1" applyAlignment="1">
      <alignment horizontal="center" vertical="center"/>
    </xf>
    <xf numFmtId="2" fontId="16" fillId="2" borderId="1" xfId="0" applyNumberFormat="1" applyFont="1" applyFill="1" applyBorder="1" applyAlignment="1">
      <alignment horizontal="center" vertical="center"/>
    </xf>
    <xf numFmtId="49" fontId="13" fillId="0" borderId="8" xfId="0" applyNumberFormat="1" applyFont="1" applyFill="1" applyBorder="1" applyAlignment="1">
      <alignment vertical="center" wrapText="1"/>
    </xf>
    <xf numFmtId="49" fontId="13" fillId="0" borderId="0" xfId="0" applyNumberFormat="1" applyFont="1" applyFill="1" applyAlignment="1">
      <alignment vertical="center" wrapText="1"/>
    </xf>
    <xf numFmtId="0" fontId="16" fillId="2" borderId="5" xfId="0" applyFont="1" applyFill="1" applyBorder="1" applyAlignment="1">
      <alignment horizontal="center" vertical="top"/>
    </xf>
    <xf numFmtId="2" fontId="16" fillId="2" borderId="4" xfId="0" applyNumberFormat="1" applyFont="1" applyFill="1" applyBorder="1" applyAlignment="1">
      <alignment horizontal="center" vertical="center"/>
    </xf>
    <xf numFmtId="49" fontId="13" fillId="3" borderId="0" xfId="0" applyNumberFormat="1" applyFont="1" applyFill="1" applyBorder="1" applyAlignment="1">
      <alignment vertical="center" wrapText="1"/>
    </xf>
    <xf numFmtId="0" fontId="13" fillId="2" borderId="5" xfId="0" applyFont="1" applyFill="1" applyBorder="1" applyAlignment="1">
      <alignment horizontal="center" vertical="center"/>
    </xf>
    <xf numFmtId="49" fontId="13" fillId="2" borderId="1" xfId="0" applyNumberFormat="1" applyFont="1" applyFill="1" applyBorder="1" applyAlignment="1">
      <alignment vertical="center" wrapText="1"/>
    </xf>
    <xf numFmtId="0" fontId="7" fillId="2" borderId="1" xfId="2" applyFont="1" applyFill="1" applyBorder="1" applyAlignment="1">
      <alignment vertical="top" wrapText="1"/>
    </xf>
    <xf numFmtId="0" fontId="13" fillId="2" borderId="1" xfId="2" applyFont="1" applyFill="1" applyBorder="1" applyAlignment="1">
      <alignment horizontal="center" vertical="center" wrapText="1"/>
    </xf>
    <xf numFmtId="2" fontId="13" fillId="2" borderId="4" xfId="2"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9" fillId="2" borderId="1" xfId="2" applyFont="1" applyFill="1" applyBorder="1" applyAlignment="1">
      <alignment horizontal="left" vertical="center" wrapText="1"/>
    </xf>
    <xf numFmtId="2" fontId="16" fillId="0" borderId="0" xfId="0" applyNumberFormat="1" applyFont="1" applyFill="1" applyBorder="1" applyAlignment="1">
      <alignment horizontal="left" vertical="center"/>
    </xf>
    <xf numFmtId="2" fontId="22" fillId="0" borderId="0" xfId="0" applyNumberFormat="1" applyFont="1" applyFill="1"/>
    <xf numFmtId="0" fontId="13" fillId="2" borderId="1" xfId="2" applyFont="1" applyFill="1" applyBorder="1" applyAlignment="1">
      <alignment horizontal="left" vertical="center" wrapText="1"/>
    </xf>
    <xf numFmtId="0" fontId="7" fillId="2" borderId="1" xfId="2" applyFont="1" applyFill="1" applyBorder="1" applyAlignment="1">
      <alignment vertical="center" wrapText="1"/>
    </xf>
    <xf numFmtId="2" fontId="13" fillId="2" borderId="1" xfId="2" applyNumberFormat="1" applyFont="1" applyFill="1" applyBorder="1" applyAlignment="1">
      <alignment horizontal="center" vertical="center" wrapText="1"/>
    </xf>
    <xf numFmtId="0" fontId="13" fillId="2" borderId="1" xfId="0" applyFont="1" applyFill="1" applyBorder="1" applyAlignment="1">
      <alignment horizontal="center"/>
    </xf>
    <xf numFmtId="0" fontId="13" fillId="2" borderId="1" xfId="0" applyFont="1" applyFill="1" applyBorder="1" applyAlignment="1">
      <alignment wrapText="1"/>
    </xf>
    <xf numFmtId="2" fontId="13" fillId="2" borderId="1" xfId="0" applyNumberFormat="1" applyFont="1" applyFill="1" applyBorder="1" applyAlignment="1">
      <alignment horizontal="center"/>
    </xf>
    <xf numFmtId="0" fontId="13" fillId="2" borderId="7" xfId="0" applyFont="1" applyFill="1" applyBorder="1" applyAlignment="1">
      <alignment horizontal="center" vertical="top"/>
    </xf>
    <xf numFmtId="49" fontId="16" fillId="2" borderId="1" xfId="0" applyNumberFormat="1" applyFont="1" applyFill="1" applyBorder="1" applyAlignment="1">
      <alignment vertical="center" wrapText="1"/>
    </xf>
    <xf numFmtId="0" fontId="16" fillId="2" borderId="1" xfId="0" applyFont="1" applyFill="1" applyBorder="1" applyAlignment="1">
      <alignment wrapText="1"/>
    </xf>
    <xf numFmtId="1" fontId="13" fillId="2" borderId="1" xfId="0" applyNumberFormat="1" applyFont="1" applyFill="1" applyBorder="1" applyAlignment="1">
      <alignment horizontal="center"/>
    </xf>
    <xf numFmtId="2" fontId="13" fillId="0" borderId="8" xfId="0" applyNumberFormat="1" applyFont="1" applyFill="1" applyBorder="1" applyAlignment="1">
      <alignment vertical="center"/>
    </xf>
    <xf numFmtId="2" fontId="13" fillId="0" borderId="0" xfId="0" applyNumberFormat="1" applyFont="1" applyFill="1" applyAlignment="1">
      <alignment vertical="center"/>
    </xf>
    <xf numFmtId="0" fontId="13" fillId="0" borderId="8" xfId="0" applyFont="1" applyFill="1" applyBorder="1" applyAlignment="1">
      <alignment vertical="center"/>
    </xf>
    <xf numFmtId="0" fontId="13" fillId="0" borderId="0" xfId="0" applyFont="1" applyFill="1" applyAlignment="1">
      <alignment vertical="center"/>
    </xf>
    <xf numFmtId="49" fontId="13" fillId="2" borderId="1" xfId="0" applyNumberFormat="1" applyFont="1" applyFill="1" applyBorder="1" applyAlignment="1">
      <alignment horizontal="center" vertical="center" wrapText="1"/>
    </xf>
    <xf numFmtId="0" fontId="13" fillId="0" borderId="8" xfId="0" applyFont="1" applyFill="1" applyBorder="1" applyAlignment="1">
      <alignment vertical="center" wrapText="1"/>
    </xf>
    <xf numFmtId="2" fontId="0" fillId="0" borderId="0" xfId="0" applyNumberFormat="1" applyFill="1"/>
    <xf numFmtId="2" fontId="13" fillId="0" borderId="0" xfId="0" applyNumberFormat="1" applyFont="1" applyFill="1" applyBorder="1" applyAlignment="1">
      <alignment horizontal="center" vertical="center" wrapText="1"/>
    </xf>
    <xf numFmtId="0" fontId="26" fillId="0" borderId="0" xfId="0" applyFont="1" applyFill="1" applyBorder="1" applyAlignment="1">
      <alignment vertical="center"/>
    </xf>
    <xf numFmtId="0" fontId="27" fillId="2" borderId="1" xfId="2" applyFont="1" applyFill="1" applyBorder="1" applyAlignment="1">
      <alignment horizontal="left" vertical="top" wrapText="1"/>
    </xf>
    <xf numFmtId="0" fontId="9" fillId="2" borderId="1" xfId="0" applyFont="1" applyFill="1" applyBorder="1"/>
    <xf numFmtId="2" fontId="16" fillId="2" borderId="1" xfId="0" applyNumberFormat="1" applyFont="1" applyFill="1" applyBorder="1" applyAlignment="1">
      <alignment horizontal="center" vertical="top"/>
    </xf>
    <xf numFmtId="0" fontId="22" fillId="0" borderId="0" xfId="0" applyFont="1" applyFill="1" applyAlignment="1">
      <alignment horizontal="center"/>
    </xf>
    <xf numFmtId="49" fontId="13" fillId="0" borderId="0" xfId="0" applyNumberFormat="1" applyFont="1" applyFill="1" applyBorder="1" applyAlignment="1">
      <alignment horizontal="center" wrapText="1"/>
    </xf>
    <xf numFmtId="0" fontId="0" fillId="0" borderId="0" xfId="0" applyFill="1" applyBorder="1"/>
    <xf numFmtId="0" fontId="13" fillId="0" borderId="0" xfId="0" applyNumberFormat="1"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Fill="1" applyAlignment="1"/>
    <xf numFmtId="0" fontId="7" fillId="0" borderId="0" xfId="0" applyFont="1" applyFill="1" applyAlignment="1">
      <alignment horizontal="center"/>
    </xf>
    <xf numFmtId="0" fontId="7" fillId="0" borderId="0" xfId="0" applyFont="1" applyFill="1" applyAlignment="1"/>
    <xf numFmtId="0" fontId="12" fillId="0" borderId="0" xfId="0" applyFont="1" applyFill="1" applyBorder="1" applyAlignment="1">
      <alignment vertical="top" wrapText="1"/>
    </xf>
    <xf numFmtId="0" fontId="7" fillId="0" borderId="0" xfId="0" applyFont="1" applyFill="1" applyBorder="1" applyAlignment="1">
      <alignment horizontal="center"/>
    </xf>
    <xf numFmtId="0" fontId="7" fillId="0" borderId="0" xfId="0" applyFont="1" applyFill="1" applyBorder="1" applyAlignment="1"/>
    <xf numFmtId="0" fontId="23"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xf>
    <xf numFmtId="0" fontId="28" fillId="0" borderId="5" xfId="0" applyFont="1" applyFill="1" applyBorder="1" applyAlignment="1">
      <alignment horizontal="center"/>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31" fillId="0" borderId="0" xfId="0" applyFont="1" applyFill="1" applyAlignment="1">
      <alignment vertical="center"/>
    </xf>
    <xf numFmtId="0" fontId="16" fillId="3" borderId="0" xfId="0" applyFont="1" applyFill="1" applyAlignment="1">
      <alignment vertical="center"/>
    </xf>
    <xf numFmtId="0" fontId="13" fillId="0" borderId="0" xfId="0" applyFont="1" applyFill="1" applyBorder="1" applyAlignment="1">
      <alignment vertical="top" wrapText="1"/>
    </xf>
    <xf numFmtId="0" fontId="7" fillId="0" borderId="0" xfId="0" applyFont="1" applyFill="1" applyBorder="1" applyAlignment="1">
      <alignment horizontal="left" vertical="center" wrapText="1"/>
    </xf>
    <xf numFmtId="0" fontId="34" fillId="0" borderId="0" xfId="0" applyFont="1" applyFill="1" applyAlignment="1">
      <alignment vertical="center" wrapText="1"/>
    </xf>
    <xf numFmtId="0" fontId="13" fillId="2" borderId="7"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0" fillId="0" borderId="0" xfId="0" applyFill="1" applyBorder="1" applyAlignment="1">
      <alignment vertical="center" wrapText="1"/>
    </xf>
    <xf numFmtId="0" fontId="18" fillId="0" borderId="0" xfId="0" applyFont="1" applyFill="1" applyBorder="1" applyAlignment="1">
      <alignment horizontal="left"/>
    </xf>
    <xf numFmtId="0" fontId="18" fillId="0" borderId="0" xfId="0" applyNumberFormat="1"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xf numFmtId="0" fontId="12" fillId="0" borderId="0" xfId="1" applyFont="1" applyFill="1" applyBorder="1" applyAlignment="1">
      <alignment vertical="top" wrapText="1"/>
    </xf>
    <xf numFmtId="0" fontId="18" fillId="0" borderId="0" xfId="0" applyFont="1" applyFill="1" applyBorder="1"/>
    <xf numFmtId="0" fontId="0" fillId="0" borderId="0" xfId="0" applyFill="1" applyBorder="1" applyAlignment="1"/>
    <xf numFmtId="0" fontId="16" fillId="0" borderId="0" xfId="0" applyFont="1" applyFill="1" applyBorder="1" applyAlignment="1">
      <alignment vertical="center"/>
    </xf>
    <xf numFmtId="0" fontId="18" fillId="0" borderId="0" xfId="0" applyFont="1" applyFill="1" applyBorder="1" applyAlignment="1">
      <alignment vertical="center" wrapText="1"/>
    </xf>
    <xf numFmtId="0" fontId="16" fillId="0" borderId="0" xfId="0" applyNumberFormat="1" applyFont="1" applyFill="1" applyBorder="1" applyAlignment="1">
      <alignment horizontal="center" vertical="center"/>
    </xf>
    <xf numFmtId="0" fontId="10" fillId="0" borderId="0" xfId="0" applyFont="1" applyFill="1"/>
    <xf numFmtId="49" fontId="18" fillId="0" borderId="8" xfId="0" applyNumberFormat="1" applyFont="1" applyFill="1" applyBorder="1" applyAlignment="1">
      <alignment vertical="center" wrapText="1"/>
    </xf>
    <xf numFmtId="49" fontId="18" fillId="0" borderId="0" xfId="0" applyNumberFormat="1" applyFont="1" applyFill="1" applyBorder="1" applyAlignment="1">
      <alignment vertical="center" wrapText="1"/>
    </xf>
    <xf numFmtId="0" fontId="0" fillId="0" borderId="0" xfId="0" applyFill="1" applyAlignment="1">
      <alignment vertical="center"/>
    </xf>
    <xf numFmtId="0" fontId="18" fillId="0" borderId="0" xfId="0" applyFont="1" applyFill="1" applyAlignment="1">
      <alignment vertical="center"/>
    </xf>
    <xf numFmtId="0" fontId="18" fillId="0" borderId="8" xfId="0" applyFont="1" applyFill="1" applyBorder="1" applyAlignment="1">
      <alignment vertical="center" wrapText="1"/>
    </xf>
    <xf numFmtId="0" fontId="35" fillId="0" borderId="0" xfId="0" applyFont="1" applyFill="1" applyBorder="1" applyAlignment="1">
      <alignment vertical="center" wrapText="1"/>
    </xf>
    <xf numFmtId="2" fontId="18" fillId="0" borderId="8" xfId="0" applyNumberFormat="1" applyFont="1" applyFill="1" applyBorder="1" applyAlignment="1">
      <alignment vertical="center" wrapText="1"/>
    </xf>
    <xf numFmtId="0" fontId="18" fillId="0" borderId="0" xfId="0" applyFont="1" applyFill="1" applyAlignment="1">
      <alignment horizontal="left" vertical="top" wrapText="1"/>
    </xf>
    <xf numFmtId="0" fontId="30" fillId="0" borderId="0" xfId="0" applyFont="1" applyFill="1" applyAlignment="1">
      <alignment vertical="center"/>
    </xf>
    <xf numFmtId="0" fontId="18" fillId="0" borderId="0" xfId="0" applyFont="1" applyFill="1" applyBorder="1" applyAlignment="1">
      <alignment horizontal="left" vertical="center"/>
    </xf>
    <xf numFmtId="0" fontId="18" fillId="0" borderId="0" xfId="0" applyFont="1" applyFill="1"/>
    <xf numFmtId="2" fontId="9" fillId="0" borderId="0" xfId="0" applyNumberFormat="1" applyFont="1" applyFill="1" applyAlignment="1">
      <alignment horizontal="left"/>
    </xf>
    <xf numFmtId="49" fontId="38" fillId="3" borderId="0" xfId="0" applyNumberFormat="1" applyFont="1" applyFill="1" applyBorder="1" applyAlignment="1">
      <alignment vertical="center" wrapText="1"/>
    </xf>
    <xf numFmtId="49" fontId="34" fillId="0" borderId="0" xfId="0" applyNumberFormat="1" applyFont="1" applyFill="1" applyAlignment="1">
      <alignment vertical="center" wrapText="1"/>
    </xf>
    <xf numFmtId="0" fontId="18" fillId="2" borderId="13" xfId="0" applyFont="1" applyFill="1" applyBorder="1" applyAlignment="1">
      <alignment horizontal="center" vertical="center"/>
    </xf>
    <xf numFmtId="0" fontId="0" fillId="0" borderId="0" xfId="0" applyFill="1" applyAlignment="1">
      <alignment horizontal="left"/>
    </xf>
    <xf numFmtId="0" fontId="16" fillId="0" borderId="0" xfId="0" applyFont="1" applyFill="1" applyAlignment="1">
      <alignment horizontal="left" vertical="top"/>
    </xf>
    <xf numFmtId="0" fontId="13" fillId="0" borderId="0" xfId="0" applyFont="1" applyFill="1" applyAlignment="1">
      <alignment horizontal="center" vertical="center"/>
    </xf>
    <xf numFmtId="0" fontId="13" fillId="0" borderId="0" xfId="0" applyFont="1" applyFill="1" applyBorder="1" applyAlignment="1">
      <alignment horizontal="center" vertical="center"/>
    </xf>
    <xf numFmtId="0" fontId="34" fillId="0" borderId="8" xfId="0" applyFont="1" applyFill="1" applyBorder="1" applyAlignment="1">
      <alignment vertical="center"/>
    </xf>
    <xf numFmtId="0" fontId="7" fillId="0" borderId="0" xfId="0" applyFont="1" applyFill="1" applyBorder="1" applyAlignment="1">
      <alignment horizontal="center" vertical="top"/>
    </xf>
    <xf numFmtId="0" fontId="16" fillId="0" borderId="0" xfId="0" applyFont="1" applyFill="1" applyBorder="1" applyAlignment="1">
      <alignment horizontal="center"/>
    </xf>
    <xf numFmtId="0" fontId="16" fillId="0" borderId="0" xfId="0" applyFont="1" applyFill="1" applyBorder="1" applyAlignment="1">
      <alignment vertical="top" wrapText="1"/>
    </xf>
    <xf numFmtId="0" fontId="16" fillId="0" borderId="0" xfId="0" applyNumberFormat="1" applyFont="1" applyFill="1" applyBorder="1" applyAlignment="1">
      <alignment horizontal="center"/>
    </xf>
    <xf numFmtId="0" fontId="16" fillId="0" borderId="0" xfId="0" applyFont="1" applyFill="1" applyBorder="1"/>
    <xf numFmtId="0" fontId="16" fillId="0" borderId="0" xfId="0" applyFont="1" applyFill="1" applyBorder="1" applyAlignment="1">
      <alignment horizontal="center" vertical="center"/>
    </xf>
    <xf numFmtId="2" fontId="16" fillId="0" borderId="0" xfId="0" applyNumberFormat="1" applyFont="1" applyFill="1" applyBorder="1" applyAlignment="1">
      <alignment horizontal="center" vertical="center"/>
    </xf>
    <xf numFmtId="0" fontId="8" fillId="0" borderId="0" xfId="0" applyFont="1" applyFill="1" applyBorder="1" applyAlignment="1">
      <alignment horizontal="left" vertical="top"/>
    </xf>
    <xf numFmtId="0" fontId="9" fillId="0" borderId="0" xfId="0" applyFont="1" applyFill="1" applyBorder="1" applyAlignment="1">
      <alignment horizontal="center"/>
    </xf>
    <xf numFmtId="0" fontId="9" fillId="0" borderId="0" xfId="0" applyFont="1" applyFill="1" applyBorder="1" applyAlignment="1">
      <alignment vertical="top" wrapText="1"/>
    </xf>
    <xf numFmtId="0" fontId="9" fillId="0" borderId="0" xfId="0" applyNumberFormat="1" applyFont="1" applyFill="1" applyBorder="1" applyAlignment="1">
      <alignment horizontal="center"/>
    </xf>
    <xf numFmtId="0" fontId="9" fillId="0" borderId="0" xfId="0" applyFont="1" applyFill="1" applyBorder="1"/>
    <xf numFmtId="2" fontId="9" fillId="0" borderId="0" xfId="0" applyNumberFormat="1" applyFont="1" applyFill="1" applyBorder="1"/>
    <xf numFmtId="0" fontId="8" fillId="0" borderId="0" xfId="0" applyFont="1" applyFill="1" applyBorder="1" applyAlignment="1">
      <alignment horizontal="center" vertical="top"/>
    </xf>
    <xf numFmtId="0" fontId="9"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top" wrapText="1"/>
    </xf>
    <xf numFmtId="0" fontId="9" fillId="0" borderId="0" xfId="0" applyFont="1" applyFill="1"/>
    <xf numFmtId="0" fontId="15" fillId="0" borderId="0" xfId="0" applyFont="1" applyFill="1" applyAlignment="1">
      <alignment horizontal="center"/>
    </xf>
    <xf numFmtId="0" fontId="9" fillId="0" borderId="0" xfId="0" applyFont="1" applyFill="1" applyAlignment="1">
      <alignment vertical="center"/>
    </xf>
    <xf numFmtId="0" fontId="9" fillId="0" borderId="0" xfId="0" applyNumberFormat="1" applyFont="1" applyFill="1" applyAlignment="1">
      <alignment horizontal="center"/>
    </xf>
    <xf numFmtId="49" fontId="9" fillId="0" borderId="0" xfId="0" applyNumberFormat="1" applyFont="1" applyFill="1" applyBorder="1" applyAlignment="1">
      <alignment wrapText="1"/>
    </xf>
    <xf numFmtId="0" fontId="0" fillId="0" borderId="0" xfId="0" applyNumberFormat="1" applyFill="1" applyAlignment="1">
      <alignment horizontal="center"/>
    </xf>
    <xf numFmtId="0" fontId="13" fillId="0" borderId="0" xfId="0" applyFont="1" applyFill="1" applyAlignment="1">
      <alignment horizontal="center"/>
    </xf>
    <xf numFmtId="0" fontId="41" fillId="0" borderId="0" xfId="0" applyFont="1" applyFill="1" applyBorder="1" applyAlignment="1"/>
    <xf numFmtId="0" fontId="10" fillId="0" borderId="0" xfId="0" quotePrefix="1" applyFont="1" applyFill="1" applyBorder="1" applyAlignment="1"/>
    <xf numFmtId="0" fontId="23" fillId="0" borderId="0" xfId="0" applyFont="1" applyFill="1" applyBorder="1" applyAlignment="1">
      <alignment horizontal="center"/>
    </xf>
    <xf numFmtId="0" fontId="10" fillId="0" borderId="0" xfId="0" applyFont="1" applyFill="1" applyBorder="1" applyAlignment="1">
      <alignment vertical="center" wrapText="1"/>
    </xf>
    <xf numFmtId="0" fontId="0" fillId="0" borderId="9" xfId="0" applyFill="1" applyBorder="1" applyAlignment="1"/>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xf>
    <xf numFmtId="0" fontId="10" fillId="0" borderId="8" xfId="0" applyFont="1" applyFill="1" applyBorder="1" applyAlignment="1">
      <alignment horizontal="center"/>
    </xf>
    <xf numFmtId="0" fontId="10" fillId="2" borderId="1" xfId="0" applyFont="1" applyFill="1" applyBorder="1"/>
    <xf numFmtId="0" fontId="10" fillId="2" borderId="2" xfId="0" applyFont="1" applyFill="1" applyBorder="1" applyAlignment="1">
      <alignment wrapText="1"/>
    </xf>
    <xf numFmtId="0" fontId="10" fillId="2" borderId="3" xfId="0" applyFont="1" applyFill="1" applyBorder="1" applyAlignment="1">
      <alignment wrapText="1"/>
    </xf>
    <xf numFmtId="0" fontId="10" fillId="2" borderId="4" xfId="0" applyFont="1" applyFill="1" applyBorder="1" applyAlignment="1">
      <alignment wrapText="1"/>
    </xf>
    <xf numFmtId="0" fontId="10" fillId="0" borderId="0" xfId="0" applyFont="1" applyFill="1" applyBorder="1" applyAlignment="1">
      <alignment wrapText="1"/>
    </xf>
    <xf numFmtId="0" fontId="10" fillId="2" borderId="1" xfId="0" applyFont="1" applyFill="1" applyBorder="1" applyAlignment="1">
      <alignment vertical="center" wrapText="1"/>
    </xf>
    <xf numFmtId="0" fontId="0" fillId="2" borderId="2" xfId="0" applyNumberFormat="1" applyFill="1" applyBorder="1" applyAlignment="1"/>
    <xf numFmtId="0" fontId="0" fillId="2" borderId="3" xfId="0" applyNumberFormat="1" applyFill="1" applyBorder="1" applyAlignment="1"/>
    <xf numFmtId="0" fontId="0" fillId="2" borderId="4" xfId="0" applyNumberFormat="1" applyFill="1" applyBorder="1" applyAlignment="1"/>
    <xf numFmtId="0" fontId="0" fillId="0" borderId="0" xfId="0" applyNumberFormat="1" applyFill="1" applyBorder="1" applyAlignment="1"/>
    <xf numFmtId="0" fontId="0" fillId="2" borderId="1" xfId="0" applyFill="1" applyBorder="1" applyAlignment="1">
      <alignment vertical="center" wrapText="1"/>
    </xf>
    <xf numFmtId="0" fontId="0" fillId="2" borderId="1" xfId="0" applyNumberFormat="1" applyFill="1" applyBorder="1" applyAlignment="1">
      <alignment horizontal="center" vertical="center"/>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2" fontId="0" fillId="0" borderId="8" xfId="0" applyNumberFormat="1" applyFill="1" applyBorder="1" applyAlignment="1">
      <alignment horizontal="center"/>
    </xf>
    <xf numFmtId="0" fontId="10" fillId="2" borderId="1" xfId="0" applyFont="1" applyFill="1" applyBorder="1" applyAlignment="1">
      <alignment horizontal="left" vertical="center" wrapText="1"/>
    </xf>
    <xf numFmtId="2" fontId="10" fillId="2" borderId="1" xfId="0" applyNumberFormat="1" applyFont="1" applyFill="1" applyBorder="1" applyAlignment="1">
      <alignment horizontal="center" vertical="center"/>
    </xf>
    <xf numFmtId="0" fontId="18" fillId="2" borderId="1" xfId="0" applyFont="1" applyFill="1" applyBorder="1" applyAlignment="1">
      <alignment horizontal="left" vertical="center" wrapText="1"/>
    </xf>
    <xf numFmtId="2" fontId="0" fillId="0" borderId="0" xfId="0" applyNumberFormat="1" applyFill="1" applyBorder="1" applyAlignment="1">
      <alignment horizontal="center"/>
    </xf>
    <xf numFmtId="0" fontId="43" fillId="2" borderId="1" xfId="0" applyFont="1" applyFill="1" applyBorder="1" applyAlignment="1">
      <alignment horizontal="left" vertical="center" wrapText="1"/>
    </xf>
    <xf numFmtId="0" fontId="0" fillId="0" borderId="0" xfId="0" applyFill="1" applyAlignment="1">
      <alignment vertical="center" wrapText="1"/>
    </xf>
    <xf numFmtId="0" fontId="44" fillId="0" borderId="8" xfId="0" applyFont="1" applyFill="1" applyBorder="1" applyAlignment="1">
      <alignment vertical="center" wrapText="1"/>
    </xf>
    <xf numFmtId="0" fontId="44" fillId="0" borderId="0" xfId="0" applyFont="1" applyFill="1" applyBorder="1" applyAlignment="1">
      <alignment vertical="center" wrapText="1"/>
    </xf>
    <xf numFmtId="0" fontId="0" fillId="2" borderId="1" xfId="0" applyFill="1" applyBorder="1" applyAlignment="1">
      <alignment horizontal="right" vertical="top"/>
    </xf>
    <xf numFmtId="0" fontId="42" fillId="2" borderId="2" xfId="0" applyFont="1" applyFill="1" applyBorder="1" applyAlignment="1">
      <alignment vertical="center" wrapText="1"/>
    </xf>
    <xf numFmtId="0" fontId="31" fillId="0" borderId="0" xfId="0" applyFont="1" applyFill="1" applyBorder="1" applyAlignment="1">
      <alignment vertical="center" wrapText="1"/>
    </xf>
    <xf numFmtId="0" fontId="0" fillId="2" borderId="1" xfId="0" applyFill="1" applyBorder="1" applyAlignment="1">
      <alignment horizontal="right"/>
    </xf>
    <xf numFmtId="0" fontId="18" fillId="2" borderId="1" xfId="1" applyFont="1" applyFill="1" applyBorder="1" applyAlignment="1">
      <alignment vertical="top" wrapText="1"/>
    </xf>
    <xf numFmtId="0" fontId="18" fillId="2" borderId="7" xfId="0" applyNumberFormat="1" applyFont="1" applyFill="1" applyBorder="1" applyAlignment="1">
      <alignment horizontal="center" vertical="center"/>
    </xf>
    <xf numFmtId="0" fontId="0" fillId="2" borderId="1" xfId="0" applyFill="1" applyBorder="1" applyAlignment="1">
      <alignment horizontal="right" vertical="center"/>
    </xf>
    <xf numFmtId="2" fontId="0" fillId="0" borderId="0" xfId="0" applyNumberFormat="1" applyFill="1" applyBorder="1" applyAlignment="1">
      <alignment horizontal="left"/>
    </xf>
    <xf numFmtId="0" fontId="18" fillId="2" borderId="1" xfId="0" applyFont="1" applyFill="1" applyBorder="1" applyAlignment="1">
      <alignment vertical="center" wrapText="1"/>
    </xf>
    <xf numFmtId="0" fontId="9" fillId="0" borderId="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0" fontId="18" fillId="2" borderId="1" xfId="1" applyFont="1" applyFill="1" applyBorder="1" applyAlignment="1">
      <alignment vertical="center" wrapText="1"/>
    </xf>
    <xf numFmtId="0" fontId="10" fillId="2" borderId="3" xfId="0" applyFont="1" applyFill="1" applyBorder="1" applyAlignment="1">
      <alignment horizontal="left" vertical="center" wrapText="1"/>
    </xf>
    <xf numFmtId="0" fontId="18" fillId="2" borderId="1" xfId="0" applyFont="1" applyFill="1" applyBorder="1" applyAlignment="1">
      <alignment horizontal="right" vertical="top" wrapText="1"/>
    </xf>
    <xf numFmtId="0" fontId="18" fillId="2" borderId="4" xfId="0" applyFont="1" applyFill="1" applyBorder="1" applyAlignment="1">
      <alignment horizontal="left" vertical="center" wrapText="1"/>
    </xf>
    <xf numFmtId="0" fontId="0" fillId="2" borderId="5" xfId="0" applyNumberFormat="1" applyFill="1" applyBorder="1" applyAlignment="1">
      <alignment horizontal="center" vertical="center"/>
    </xf>
    <xf numFmtId="2" fontId="0" fillId="2" borderId="3" xfId="0" applyNumberFormat="1"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Border="1" applyAlignment="1">
      <alignment vertical="center"/>
    </xf>
    <xf numFmtId="0" fontId="10" fillId="2" borderId="4" xfId="0" applyFont="1" applyFill="1" applyBorder="1" applyAlignment="1">
      <alignment horizontal="left" vertical="top" wrapText="1"/>
    </xf>
    <xf numFmtId="0" fontId="0" fillId="2" borderId="5" xfId="0" applyNumberFormat="1" applyFill="1" applyBorder="1" applyAlignment="1">
      <alignment horizontal="center" vertical="top"/>
    </xf>
    <xf numFmtId="0" fontId="18"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8" fillId="2" borderId="4" xfId="0" applyFont="1" applyFill="1" applyBorder="1" applyAlignment="1">
      <alignment horizontal="left" vertical="top" wrapText="1"/>
    </xf>
    <xf numFmtId="2" fontId="18" fillId="2" borderId="1" xfId="0" applyNumberFormat="1" applyFont="1" applyFill="1" applyBorder="1" applyAlignment="1">
      <alignment horizontal="center" vertical="center" wrapText="1"/>
    </xf>
    <xf numFmtId="0" fontId="18" fillId="0" borderId="0" xfId="0" applyFont="1" applyFill="1" applyBorder="1" applyAlignment="1">
      <alignment horizontal="left" vertical="top" wrapText="1"/>
    </xf>
    <xf numFmtId="0" fontId="18" fillId="2" borderId="12" xfId="0" applyFont="1" applyFill="1" applyBorder="1" applyAlignment="1">
      <alignment vertical="center" wrapText="1"/>
    </xf>
    <xf numFmtId="0" fontId="18" fillId="2" borderId="1"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wrapText="1"/>
    </xf>
    <xf numFmtId="2" fontId="0" fillId="0" borderId="0" xfId="0" applyNumberFormat="1" applyFill="1" applyBorder="1" applyAlignment="1">
      <alignment horizontal="left" vertical="center"/>
    </xf>
    <xf numFmtId="0" fontId="18" fillId="2" borderId="1" xfId="0" applyFont="1" applyFill="1" applyBorder="1" applyAlignment="1">
      <alignment vertical="center"/>
    </xf>
    <xf numFmtId="0" fontId="18" fillId="2" borderId="1" xfId="0" applyNumberFormat="1" applyFont="1" applyFill="1" applyBorder="1" applyAlignment="1">
      <alignment horizontal="center" vertical="center" wrapText="1"/>
    </xf>
    <xf numFmtId="2" fontId="18" fillId="0" borderId="0" xfId="0" applyNumberFormat="1" applyFont="1" applyFill="1" applyBorder="1" applyAlignment="1">
      <alignment horizontal="left" vertical="center"/>
    </xf>
    <xf numFmtId="0" fontId="18" fillId="0" borderId="0" xfId="0" applyFont="1" applyFill="1" applyBorder="1" applyAlignment="1">
      <alignment horizontal="center" vertical="top" wrapText="1"/>
    </xf>
    <xf numFmtId="2" fontId="10" fillId="0" borderId="0" xfId="0" applyNumberFormat="1" applyFont="1" applyFill="1" applyBorder="1" applyAlignment="1">
      <alignment horizontal="left" vertical="center"/>
    </xf>
    <xf numFmtId="0" fontId="18" fillId="2" borderId="1" xfId="0" applyFont="1" applyFill="1" applyBorder="1" applyAlignment="1">
      <alignment horizontal="right" vertical="center" wrapText="1"/>
    </xf>
    <xf numFmtId="49" fontId="18" fillId="2" borderId="1" xfId="0" applyNumberFormat="1" applyFont="1" applyFill="1" applyBorder="1" applyAlignment="1">
      <alignment vertical="center" wrapText="1"/>
    </xf>
    <xf numFmtId="49" fontId="18" fillId="2" borderId="1" xfId="0" applyNumberFormat="1" applyFont="1" applyFill="1" applyBorder="1" applyAlignment="1">
      <alignment horizontal="center" vertical="center" wrapText="1"/>
    </xf>
    <xf numFmtId="2" fontId="0" fillId="2" borderId="4" xfId="0" applyNumberFormat="1" applyFill="1" applyBorder="1" applyAlignment="1">
      <alignment horizontal="center" vertical="center"/>
    </xf>
    <xf numFmtId="0" fontId="10" fillId="2" borderId="2" xfId="0" applyFont="1" applyFill="1" applyBorder="1" applyAlignment="1">
      <alignment horizontal="left" wrapText="1"/>
    </xf>
    <xf numFmtId="0" fontId="0" fillId="2" borderId="1" xfId="0" applyNumberFormat="1" applyFill="1" applyBorder="1" applyAlignment="1"/>
    <xf numFmtId="0" fontId="10" fillId="2" borderId="5" xfId="0" applyFont="1" applyFill="1" applyBorder="1" applyAlignment="1">
      <alignment horizontal="left" vertical="center" wrapText="1"/>
    </xf>
    <xf numFmtId="0" fontId="0" fillId="2" borderId="10" xfId="0" applyFill="1" applyBorder="1" applyAlignment="1">
      <alignment horizontal="center" vertical="center"/>
    </xf>
    <xf numFmtId="2" fontId="10" fillId="2" borderId="5" xfId="0" applyNumberFormat="1" applyFont="1" applyFill="1" applyBorder="1" applyAlignment="1">
      <alignment horizontal="center" vertical="center"/>
    </xf>
    <xf numFmtId="0" fontId="10" fillId="2" borderId="11" xfId="0" applyFont="1" applyFill="1" applyBorder="1" applyAlignment="1">
      <alignment horizontal="center" vertical="center"/>
    </xf>
    <xf numFmtId="2" fontId="0" fillId="2" borderId="5" xfId="0" applyNumberFormat="1" applyFill="1" applyBorder="1" applyAlignment="1">
      <alignment horizontal="center" vertical="center"/>
    </xf>
    <xf numFmtId="2" fontId="0" fillId="2" borderId="10" xfId="0" applyNumberForma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2" fontId="0" fillId="2" borderId="2" xfId="0" applyNumberFormat="1" applyFill="1" applyBorder="1" applyAlignment="1">
      <alignment horizontal="center" vertical="center"/>
    </xf>
    <xf numFmtId="0" fontId="10" fillId="2" borderId="6" xfId="0" applyFont="1" applyFill="1" applyBorder="1" applyAlignment="1">
      <alignment horizontal="left" vertical="center" wrapText="1"/>
    </xf>
    <xf numFmtId="0" fontId="0" fillId="2" borderId="6" xfId="0" applyFill="1" applyBorder="1" applyAlignment="1">
      <alignment horizontal="center" vertical="center"/>
    </xf>
    <xf numFmtId="0" fontId="10" fillId="2" borderId="1" xfId="0" applyFont="1" applyFill="1" applyBorder="1" applyAlignment="1">
      <alignment horizontal="center" vertical="center"/>
    </xf>
    <xf numFmtId="2" fontId="18" fillId="0" borderId="0" xfId="0" applyNumberFormat="1" applyFont="1" applyFill="1" applyBorder="1" applyAlignment="1">
      <alignment horizontal="left"/>
    </xf>
    <xf numFmtId="0" fontId="18" fillId="2" borderId="1" xfId="0" applyFont="1" applyFill="1" applyBorder="1" applyAlignment="1">
      <alignment horizontal="right" vertical="top"/>
    </xf>
    <xf numFmtId="0" fontId="18" fillId="2" borderId="1" xfId="0" applyFont="1" applyFill="1" applyBorder="1" applyAlignment="1">
      <alignment horizontal="left" wrapText="1"/>
    </xf>
    <xf numFmtId="0" fontId="0" fillId="2" borderId="1" xfId="0" applyNumberFormat="1" applyFill="1" applyBorder="1" applyAlignment="1">
      <alignment horizontal="center" vertical="top"/>
    </xf>
    <xf numFmtId="0" fontId="0" fillId="2" borderId="1" xfId="0" applyFill="1" applyBorder="1" applyAlignment="1">
      <alignment horizontal="center" vertical="top"/>
    </xf>
    <xf numFmtId="2" fontId="0" fillId="2" borderId="1" xfId="0" applyNumberFormat="1" applyFill="1" applyBorder="1" applyAlignment="1">
      <alignment horizontal="center" vertical="top"/>
    </xf>
    <xf numFmtId="2" fontId="0" fillId="2" borderId="10" xfId="0" applyNumberFormat="1" applyFill="1" applyBorder="1" applyAlignment="1">
      <alignment horizontal="center" vertical="top"/>
    </xf>
    <xf numFmtId="2" fontId="0" fillId="0" borderId="0" xfId="0" applyNumberFormat="1" applyFill="1" applyBorder="1" applyAlignment="1">
      <alignment horizontal="left" vertical="top"/>
    </xf>
    <xf numFmtId="0" fontId="18" fillId="2" borderId="6" xfId="0" applyFont="1" applyFill="1" applyBorder="1" applyAlignment="1">
      <alignment horizontal="right" vertical="top"/>
    </xf>
    <xf numFmtId="49" fontId="18" fillId="2" borderId="5" xfId="0" applyNumberFormat="1" applyFont="1" applyFill="1" applyBorder="1" applyAlignment="1">
      <alignment vertical="center" wrapText="1"/>
    </xf>
    <xf numFmtId="0" fontId="18" fillId="2" borderId="5"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2" fontId="0" fillId="2" borderId="5" xfId="0" applyNumberFormat="1" applyFill="1" applyBorder="1" applyAlignment="1">
      <alignment horizontal="center" vertical="top"/>
    </xf>
    <xf numFmtId="0" fontId="0" fillId="2" borderId="5" xfId="0" applyFill="1" applyBorder="1" applyAlignment="1">
      <alignment horizontal="center" vertical="top"/>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0" fillId="2" borderId="2" xfId="0" applyFont="1" applyFill="1" applyBorder="1" applyAlignment="1">
      <alignment vertical="center" wrapText="1"/>
    </xf>
    <xf numFmtId="0" fontId="18" fillId="2" borderId="1" xfId="0" applyFont="1" applyFill="1" applyBorder="1" applyAlignment="1">
      <alignment horizontal="left" vertical="top" wrapText="1"/>
    </xf>
    <xf numFmtId="164" fontId="0" fillId="2" borderId="1" xfId="0" applyNumberFormat="1" applyFill="1" applyBorder="1" applyAlignment="1">
      <alignment horizontal="center" vertical="top"/>
    </xf>
    <xf numFmtId="0" fontId="18" fillId="3" borderId="0" xfId="0" applyFont="1" applyFill="1" applyAlignment="1">
      <alignment vertical="top" wrapText="1"/>
    </xf>
    <xf numFmtId="2" fontId="0" fillId="2" borderId="7" xfId="0" applyNumberFormat="1" applyFill="1" applyBorder="1" applyAlignment="1">
      <alignment horizontal="center" vertical="top"/>
    </xf>
    <xf numFmtId="0" fontId="18" fillId="2" borderId="4" xfId="0" applyFont="1" applyFill="1" applyBorder="1" applyAlignment="1">
      <alignment horizontal="right" vertical="top" wrapText="1"/>
    </xf>
    <xf numFmtId="0" fontId="10" fillId="2" borderId="2" xfId="0" applyFont="1" applyFill="1" applyBorder="1" applyAlignment="1">
      <alignment horizontal="left" vertical="center" wrapText="1"/>
    </xf>
    <xf numFmtId="0" fontId="0" fillId="2" borderId="4" xfId="0" applyFill="1" applyBorder="1" applyAlignment="1">
      <alignment vertical="top" wrapText="1"/>
    </xf>
    <xf numFmtId="2" fontId="0" fillId="2" borderId="7" xfId="0" applyNumberFormat="1" applyFill="1" applyBorder="1" applyAlignment="1">
      <alignment horizontal="center" vertical="center"/>
    </xf>
    <xf numFmtId="0" fontId="18" fillId="2" borderId="5" xfId="0" applyNumberFormat="1" applyFont="1" applyFill="1" applyBorder="1" applyAlignment="1">
      <alignment horizontal="center" vertical="center"/>
    </xf>
    <xf numFmtId="0" fontId="18" fillId="2" borderId="1" xfId="0" applyFont="1" applyFill="1" applyBorder="1" applyAlignment="1">
      <alignment horizontal="center" vertical="center"/>
    </xf>
    <xf numFmtId="2" fontId="18" fillId="2" borderId="7" xfId="0" applyNumberFormat="1" applyFont="1" applyFill="1" applyBorder="1" applyAlignment="1">
      <alignment horizontal="center" vertical="center"/>
    </xf>
    <xf numFmtId="2" fontId="18" fillId="0" borderId="0" xfId="0" applyNumberFormat="1" applyFont="1" applyFill="1" applyBorder="1" applyAlignment="1">
      <alignment horizontal="center"/>
    </xf>
    <xf numFmtId="0" fontId="10" fillId="2" borderId="4" xfId="0" applyFont="1" applyFill="1" applyBorder="1" applyAlignment="1">
      <alignment horizontal="left" vertical="center" wrapText="1"/>
    </xf>
    <xf numFmtId="0" fontId="18" fillId="2" borderId="1" xfId="0" applyNumberFormat="1" applyFont="1" applyFill="1" applyBorder="1" applyAlignment="1">
      <alignment horizontal="center"/>
    </xf>
    <xf numFmtId="0" fontId="18" fillId="2" borderId="1" xfId="0" applyFont="1" applyFill="1" applyBorder="1" applyAlignment="1">
      <alignment horizontal="center"/>
    </xf>
    <xf numFmtId="2" fontId="10" fillId="2" borderId="1" xfId="0" applyNumberFormat="1" applyFont="1" applyFill="1" applyBorder="1" applyAlignment="1">
      <alignment horizontal="center"/>
    </xf>
    <xf numFmtId="2" fontId="18" fillId="2" borderId="1" xfId="0" applyNumberFormat="1" applyFont="1" applyFill="1" applyBorder="1" applyAlignment="1">
      <alignment horizontal="center"/>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18" fillId="2" borderId="4" xfId="0" applyFont="1" applyFill="1" applyBorder="1" applyAlignment="1">
      <alignment vertical="top" wrapText="1"/>
    </xf>
    <xf numFmtId="0" fontId="18" fillId="0" borderId="0" xfId="0" applyFont="1" applyFill="1" applyBorder="1" applyAlignment="1">
      <alignment vertical="top" wrapText="1"/>
    </xf>
    <xf numFmtId="0" fontId="18" fillId="2" borderId="1" xfId="0" applyNumberFormat="1" applyFont="1" applyFill="1" applyBorder="1" applyAlignment="1">
      <alignment horizontal="center" vertical="top" wrapText="1"/>
    </xf>
    <xf numFmtId="2" fontId="18" fillId="2" borderId="7" xfId="0" applyNumberFormat="1" applyFont="1" applyFill="1" applyBorder="1" applyAlignment="1">
      <alignment horizontal="center" vertical="top"/>
    </xf>
    <xf numFmtId="2" fontId="18" fillId="0" borderId="0" xfId="0" applyNumberFormat="1" applyFont="1" applyFill="1" applyBorder="1" applyAlignment="1">
      <alignment horizontal="left" vertical="top" wrapText="1"/>
    </xf>
    <xf numFmtId="2" fontId="18" fillId="2" borderId="1" xfId="0" applyNumberFormat="1" applyFont="1" applyFill="1" applyBorder="1" applyAlignment="1">
      <alignment horizontal="center" vertical="top"/>
    </xf>
    <xf numFmtId="2" fontId="18" fillId="0" borderId="0" xfId="0" applyNumberFormat="1" applyFont="1" applyFill="1" applyBorder="1" applyAlignment="1">
      <alignment horizontal="center" vertical="top"/>
    </xf>
    <xf numFmtId="0" fontId="0" fillId="2" borderId="1" xfId="0" applyFill="1" applyBorder="1" applyAlignment="1">
      <alignment vertical="top" wrapText="1"/>
    </xf>
    <xf numFmtId="2" fontId="0" fillId="2" borderId="1" xfId="0" applyNumberFormat="1" applyFill="1" applyBorder="1" applyAlignment="1">
      <alignment horizontal="center"/>
    </xf>
    <xf numFmtId="0" fontId="18" fillId="2" borderId="1" xfId="0" applyFont="1" applyFill="1" applyBorder="1" applyAlignment="1">
      <alignment horizontal="center" vertical="top"/>
    </xf>
    <xf numFmtId="0" fontId="10" fillId="2" borderId="1" xfId="0" applyFont="1" applyFill="1" applyBorder="1" applyAlignment="1">
      <alignment horizontal="center" vertical="top"/>
    </xf>
    <xf numFmtId="0" fontId="10" fillId="2" borderId="1" xfId="0" applyNumberFormat="1" applyFont="1" applyFill="1" applyBorder="1" applyAlignment="1">
      <alignment horizontal="center"/>
    </xf>
    <xf numFmtId="0" fontId="10" fillId="2" borderId="1" xfId="0" applyFont="1" applyFill="1" applyBorder="1" applyAlignment="1">
      <alignment horizontal="center"/>
    </xf>
    <xf numFmtId="2" fontId="10" fillId="0" borderId="8" xfId="0" applyNumberFormat="1" applyFont="1" applyFill="1" applyBorder="1" applyAlignment="1">
      <alignment horizontal="center"/>
    </xf>
    <xf numFmtId="49" fontId="34" fillId="0" borderId="0" xfId="0" applyNumberFormat="1" applyFont="1" applyFill="1" applyBorder="1" applyAlignment="1">
      <alignment vertical="center" wrapText="1"/>
    </xf>
    <xf numFmtId="0" fontId="10" fillId="2" borderId="5" xfId="0" applyFont="1" applyFill="1" applyBorder="1" applyAlignment="1">
      <alignment horizontal="center" vertical="center"/>
    </xf>
    <xf numFmtId="0" fontId="10" fillId="2" borderId="7" xfId="0" applyFont="1" applyFill="1" applyBorder="1"/>
    <xf numFmtId="0" fontId="10" fillId="2" borderId="1" xfId="0" applyNumberFormat="1" applyFont="1" applyFill="1" applyBorder="1" applyAlignment="1">
      <alignment vertical="center" wrapText="1"/>
    </xf>
    <xf numFmtId="0" fontId="10" fillId="2" borderId="2" xfId="0" applyNumberFormat="1" applyFont="1" applyFill="1" applyBorder="1" applyAlignment="1">
      <alignment horizontal="center"/>
    </xf>
    <xf numFmtId="0" fontId="10" fillId="2" borderId="2" xfId="0" applyFont="1" applyFill="1" applyBorder="1" applyAlignment="1">
      <alignment horizontal="center"/>
    </xf>
    <xf numFmtId="49" fontId="34" fillId="3" borderId="0" xfId="0" applyNumberFormat="1" applyFont="1" applyFill="1" applyBorder="1" applyAlignment="1">
      <alignment vertical="center" wrapText="1"/>
    </xf>
    <xf numFmtId="0" fontId="0" fillId="2" borderId="7" xfId="0" applyFill="1" applyBorder="1"/>
    <xf numFmtId="0" fontId="18" fillId="2" borderId="2" xfId="0" applyNumberFormat="1" applyFont="1" applyFill="1" applyBorder="1" applyAlignment="1">
      <alignment vertical="center"/>
    </xf>
    <xf numFmtId="2" fontId="18" fillId="2" borderId="1" xfId="0" applyNumberFormat="1" applyFont="1" applyFill="1" applyBorder="1" applyAlignment="1">
      <alignment horizontal="center" vertical="center"/>
    </xf>
    <xf numFmtId="0" fontId="0" fillId="2" borderId="2" xfId="0" applyFill="1" applyBorder="1" applyAlignment="1">
      <alignment vertical="center" wrapText="1"/>
    </xf>
    <xf numFmtId="0" fontId="18" fillId="2" borderId="13" xfId="0" applyNumberFormat="1" applyFont="1" applyFill="1" applyBorder="1" applyAlignment="1">
      <alignment horizont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166" fontId="18" fillId="0" borderId="0" xfId="0" applyNumberFormat="1" applyFont="1" applyFill="1" applyBorder="1" applyAlignment="1">
      <alignment horizontal="center" vertical="center"/>
    </xf>
    <xf numFmtId="168" fontId="18" fillId="0" borderId="0" xfId="0" applyNumberFormat="1" applyFont="1" applyFill="1" applyBorder="1" applyAlignment="1">
      <alignment horizontal="center" vertical="center"/>
    </xf>
    <xf numFmtId="168" fontId="18" fillId="0" borderId="0" xfId="0" applyNumberFormat="1" applyFont="1" applyFill="1" applyBorder="1" applyAlignment="1">
      <alignment horizontal="left" vertical="center"/>
    </xf>
    <xf numFmtId="0" fontId="18" fillId="2" borderId="4" xfId="0" applyFont="1" applyFill="1" applyBorder="1" applyAlignment="1">
      <alignment horizontal="center" vertical="center" wrapText="1"/>
    </xf>
    <xf numFmtId="0" fontId="44" fillId="0" borderId="8" xfId="0" applyFont="1" applyFill="1" applyBorder="1" applyAlignment="1">
      <alignment horizontal="left" vertical="center" wrapText="1"/>
    </xf>
    <xf numFmtId="0" fontId="18" fillId="2" borderId="13" xfId="0" applyNumberFormat="1" applyFont="1" applyFill="1" applyBorder="1" applyAlignment="1">
      <alignment horizontal="center" vertical="center"/>
    </xf>
    <xf numFmtId="0" fontId="18" fillId="0" borderId="0" xfId="0" applyFont="1" applyFill="1" applyAlignment="1">
      <alignment vertical="center" wrapText="1"/>
    </xf>
    <xf numFmtId="0" fontId="0" fillId="2" borderId="1" xfId="0" applyFill="1" applyBorder="1" applyAlignment="1">
      <alignment horizontal="center"/>
    </xf>
    <xf numFmtId="0" fontId="18" fillId="2" borderId="2" xfId="0" applyNumberFormat="1" applyFont="1" applyFill="1" applyBorder="1" applyAlignment="1"/>
    <xf numFmtId="0" fontId="18" fillId="2" borderId="1" xfId="0" applyNumberFormat="1" applyFont="1" applyFill="1" applyBorder="1" applyAlignment="1"/>
    <xf numFmtId="0" fontId="0" fillId="2" borderId="5" xfId="0" applyFill="1" applyBorder="1" applyAlignment="1">
      <alignment horizontal="center"/>
    </xf>
    <xf numFmtId="0" fontId="0" fillId="2" borderId="5" xfId="0" applyFill="1" applyBorder="1" applyAlignment="1">
      <alignment vertical="center" wrapText="1"/>
    </xf>
    <xf numFmtId="0" fontId="18" fillId="2" borderId="5" xfId="0" applyNumberFormat="1" applyFont="1" applyFill="1" applyBorder="1" applyAlignment="1">
      <alignment horizontal="center"/>
    </xf>
    <xf numFmtId="0" fontId="18" fillId="2" borderId="5" xfId="0" applyFont="1" applyFill="1" applyBorder="1" applyAlignment="1">
      <alignment horizontal="center"/>
    </xf>
    <xf numFmtId="2" fontId="18" fillId="2" borderId="5" xfId="0" applyNumberFormat="1" applyFont="1" applyFill="1" applyBorder="1" applyAlignment="1">
      <alignment horizontal="center"/>
    </xf>
    <xf numFmtId="0" fontId="7" fillId="0" borderId="0" xfId="0" applyFont="1" applyFill="1"/>
    <xf numFmtId="0" fontId="0" fillId="2" borderId="10" xfId="0" applyFill="1" applyBorder="1" applyAlignment="1">
      <alignment horizontal="center" vertical="center" wrapText="1"/>
    </xf>
    <xf numFmtId="0" fontId="18" fillId="2" borderId="10" xfId="0" applyFont="1" applyFill="1" applyBorder="1" applyAlignment="1">
      <alignment vertical="center" wrapText="1"/>
    </xf>
    <xf numFmtId="0" fontId="18" fillId="2" borderId="10" xfId="0" applyNumberFormat="1" applyFont="1" applyFill="1" applyBorder="1" applyAlignment="1">
      <alignment horizontal="center" vertical="center"/>
    </xf>
    <xf numFmtId="0" fontId="18" fillId="2" borderId="5" xfId="0" applyFont="1" applyFill="1" applyBorder="1" applyAlignment="1">
      <alignment horizontal="center" vertical="center"/>
    </xf>
    <xf numFmtId="2" fontId="4" fillId="0" borderId="0" xfId="0" applyNumberFormat="1" applyFont="1" applyFill="1"/>
    <xf numFmtId="0" fontId="18" fillId="2" borderId="10" xfId="0" applyFont="1" applyFill="1" applyBorder="1" applyAlignment="1">
      <alignment horizontal="center" vertical="center" wrapText="1"/>
    </xf>
    <xf numFmtId="0" fontId="10" fillId="2" borderId="1" xfId="0" applyFont="1" applyFill="1" applyBorder="1" applyAlignment="1">
      <alignment horizontal="left" vertical="top" wrapText="1"/>
    </xf>
    <xf numFmtId="2" fontId="18" fillId="0" borderId="0" xfId="0" applyNumberFormat="1" applyFont="1" applyFill="1" applyBorder="1" applyAlignment="1">
      <alignment horizontal="center" vertical="center"/>
    </xf>
    <xf numFmtId="0" fontId="0" fillId="2" borderId="7" xfId="0" applyFill="1" applyBorder="1" applyAlignment="1">
      <alignment horizontal="center" vertical="top"/>
    </xf>
    <xf numFmtId="0" fontId="13" fillId="4" borderId="0" xfId="0" applyFont="1" applyFill="1" applyBorder="1" applyAlignment="1">
      <alignment horizontal="center" vertical="center"/>
    </xf>
    <xf numFmtId="0" fontId="0" fillId="2" borderId="1" xfId="0" applyFill="1" applyBorder="1"/>
    <xf numFmtId="49" fontId="10" fillId="2" borderId="1" xfId="0" applyNumberFormat="1" applyFont="1" applyFill="1" applyBorder="1" applyAlignment="1">
      <alignment vertical="center" wrapText="1"/>
    </xf>
    <xf numFmtId="2" fontId="10" fillId="2" borderId="1" xfId="0" applyNumberFormat="1" applyFont="1" applyFill="1" applyBorder="1" applyAlignment="1">
      <alignment horizontal="center" vertical="top"/>
    </xf>
    <xf numFmtId="2" fontId="10" fillId="0" borderId="0" xfId="0" applyNumberFormat="1" applyFont="1" applyFill="1" applyBorder="1" applyAlignment="1">
      <alignment horizontal="center"/>
    </xf>
    <xf numFmtId="0" fontId="29" fillId="2" borderId="1" xfId="0" applyNumberFormat="1" applyFont="1" applyFill="1" applyBorder="1" applyAlignment="1">
      <alignment horizontal="center"/>
    </xf>
    <xf numFmtId="0" fontId="29" fillId="2" borderId="1" xfId="0" applyFont="1" applyFill="1" applyBorder="1" applyAlignment="1">
      <alignment horizontal="center"/>
    </xf>
    <xf numFmtId="0" fontId="29" fillId="2" borderId="1" xfId="0" applyFont="1" applyFill="1" applyBorder="1" applyAlignment="1">
      <alignment horizontal="center" vertical="center"/>
    </xf>
    <xf numFmtId="0" fontId="18" fillId="0" borderId="8" xfId="0" applyFont="1" applyFill="1" applyBorder="1" applyAlignment="1">
      <alignment vertical="center"/>
    </xf>
    <xf numFmtId="0" fontId="10" fillId="2" borderId="1" xfId="0" applyFont="1" applyFill="1" applyBorder="1" applyAlignment="1">
      <alignment vertical="top"/>
    </xf>
    <xf numFmtId="0" fontId="29" fillId="2" borderId="15" xfId="0" applyNumberFormat="1" applyFont="1" applyFill="1" applyBorder="1" applyAlignment="1">
      <alignment horizontal="center"/>
    </xf>
    <xf numFmtId="0" fontId="29" fillId="2" borderId="15" xfId="0" applyFont="1" applyFill="1" applyBorder="1" applyAlignment="1">
      <alignment horizontal="center"/>
    </xf>
    <xf numFmtId="0" fontId="29" fillId="2" borderId="0" xfId="0" applyFont="1" applyFill="1" applyBorder="1" applyAlignment="1">
      <alignment horizontal="center"/>
    </xf>
    <xf numFmtId="2" fontId="34" fillId="2" borderId="1" xfId="0" applyNumberFormat="1" applyFont="1" applyFill="1" applyBorder="1" applyAlignment="1">
      <alignment horizontal="center" vertical="top"/>
    </xf>
    <xf numFmtId="2" fontId="34" fillId="0" borderId="0" xfId="0" applyNumberFormat="1" applyFont="1" applyFill="1" applyBorder="1" applyAlignment="1">
      <alignment horizontal="center" vertical="top"/>
    </xf>
    <xf numFmtId="0" fontId="29" fillId="2" borderId="1" xfId="0" applyFont="1" applyFill="1" applyBorder="1" applyAlignment="1">
      <alignment horizontal="center" vertical="top" wrapText="1"/>
    </xf>
    <xf numFmtId="0" fontId="29" fillId="2" borderId="1" xfId="0" applyFont="1" applyFill="1" applyBorder="1" applyAlignment="1">
      <alignment vertical="top" wrapText="1"/>
    </xf>
    <xf numFmtId="2" fontId="29" fillId="2" borderId="1" xfId="0" applyNumberFormat="1" applyFont="1" applyFill="1" applyBorder="1" applyAlignment="1">
      <alignment horizontal="center" vertical="top"/>
    </xf>
    <xf numFmtId="2" fontId="29" fillId="0" borderId="0" xfId="0" applyNumberFormat="1" applyFont="1" applyFill="1" applyBorder="1" applyAlignment="1">
      <alignment horizontal="center" vertical="top"/>
    </xf>
    <xf numFmtId="0" fontId="0" fillId="0" borderId="0" xfId="0" applyFill="1" applyAlignment="1">
      <alignment wrapText="1"/>
    </xf>
    <xf numFmtId="0" fontId="0" fillId="0" borderId="15" xfId="0" applyNumberFormat="1" applyFill="1" applyBorder="1" applyAlignment="1"/>
    <xf numFmtId="0" fontId="10" fillId="0" borderId="1" xfId="0" applyFont="1" applyFill="1" applyBorder="1" applyAlignment="1">
      <alignment vertical="top"/>
    </xf>
    <xf numFmtId="0" fontId="0" fillId="0" borderId="0" xfId="0" applyFill="1" applyAlignment="1">
      <alignment vertical="top"/>
    </xf>
    <xf numFmtId="0" fontId="0" fillId="0" borderId="0" xfId="0" applyFill="1" applyBorder="1" applyAlignment="1">
      <alignment vertical="top" wrapText="1"/>
    </xf>
    <xf numFmtId="0" fontId="16"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0" xfId="0" applyFill="1" applyAlignment="1">
      <alignment horizontal="left" vertical="top" wrapText="1"/>
    </xf>
    <xf numFmtId="2" fontId="0" fillId="0" borderId="0" xfId="0" applyNumberFormat="1" applyFill="1" applyBorder="1" applyAlignment="1">
      <alignment horizontal="center" vertical="top" wrapText="1"/>
    </xf>
    <xf numFmtId="2" fontId="0" fillId="0" borderId="0" xfId="0" applyNumberFormat="1" applyFill="1" applyBorder="1" applyAlignment="1">
      <alignment horizontal="left" vertical="top" wrapText="1"/>
    </xf>
    <xf numFmtId="0" fontId="0" fillId="0" borderId="0" xfId="0" applyFill="1" applyAlignment="1"/>
    <xf numFmtId="2" fontId="13" fillId="0" borderId="0" xfId="0" applyNumberFormat="1" applyFont="1" applyFill="1" applyAlignment="1">
      <alignment horizontal="center"/>
    </xf>
    <xf numFmtId="2" fontId="10" fillId="0" borderId="0" xfId="0" applyNumberFormat="1" applyFont="1" applyFill="1" applyAlignment="1">
      <alignment horizontal="center"/>
    </xf>
    <xf numFmtId="0" fontId="13" fillId="0" borderId="0" xfId="0" applyNumberFormat="1" applyFont="1" applyFill="1" applyBorder="1" applyAlignment="1">
      <alignment horizontal="center" vertical="top" wrapText="1"/>
    </xf>
    <xf numFmtId="0" fontId="13" fillId="0" borderId="0" xfId="0" applyFont="1" applyFill="1" applyBorder="1" applyAlignment="1">
      <alignment horizontal="center"/>
    </xf>
    <xf numFmtId="0" fontId="8" fillId="0" borderId="0" xfId="0" applyFont="1" applyFill="1"/>
    <xf numFmtId="0" fontId="10" fillId="0" borderId="0" xfId="0" applyFont="1" applyFill="1" applyBorder="1" applyAlignment="1">
      <alignment horizontal="left"/>
    </xf>
    <xf numFmtId="0" fontId="4" fillId="0" borderId="0" xfId="0" applyFont="1" applyFill="1" applyBorder="1" applyAlignment="1"/>
    <xf numFmtId="0" fontId="5" fillId="0" borderId="0" xfId="0" applyFont="1" applyFill="1" applyBorder="1" applyAlignment="1"/>
    <xf numFmtId="0" fontId="4" fillId="0" borderId="0" xfId="0" applyFont="1" applyFill="1" applyBorder="1" applyAlignment="1">
      <alignment horizontal="center"/>
    </xf>
    <xf numFmtId="0" fontId="10" fillId="0" borderId="0" xfId="0" applyFont="1" applyFill="1" applyAlignment="1"/>
    <xf numFmtId="0" fontId="10" fillId="0" borderId="0" xfId="0" applyFont="1" applyFill="1" applyBorder="1" applyAlignment="1">
      <alignment horizontal="center"/>
    </xf>
    <xf numFmtId="0" fontId="10" fillId="0" borderId="0" xfId="0" applyFont="1" applyFill="1" applyBorder="1" applyAlignment="1"/>
    <xf numFmtId="0" fontId="10" fillId="0" borderId="12" xfId="0" applyFont="1" applyFill="1" applyBorder="1" applyAlignment="1">
      <alignment horizontal="center" vertical="center"/>
    </xf>
    <xf numFmtId="0" fontId="10" fillId="0" borderId="0" xfId="0" applyFont="1" applyFill="1" applyAlignment="1">
      <alignment horizontal="center" vertical="center"/>
    </xf>
    <xf numFmtId="0" fontId="10" fillId="0" borderId="5" xfId="0" applyFont="1" applyFill="1" applyBorder="1" applyAlignment="1">
      <alignment horizontal="center" vertical="center"/>
    </xf>
    <xf numFmtId="0" fontId="18" fillId="0" borderId="0" xfId="0" applyFont="1" applyFill="1" applyAlignment="1">
      <alignment horizontal="center"/>
    </xf>
    <xf numFmtId="0" fontId="18" fillId="2" borderId="1" xfId="0" quotePrefix="1" applyFont="1" applyFill="1" applyBorder="1" applyAlignment="1">
      <alignment horizontal="center" vertical="center"/>
    </xf>
    <xf numFmtId="2" fontId="18" fillId="2" borderId="1" xfId="0" quotePrefix="1" applyNumberFormat="1" applyFont="1" applyFill="1" applyBorder="1" applyAlignment="1">
      <alignment horizontal="center" vertical="center"/>
    </xf>
    <xf numFmtId="0" fontId="18" fillId="2" borderId="5" xfId="0" applyFont="1" applyFill="1" applyBorder="1" applyAlignment="1">
      <alignment horizontal="left" vertical="center"/>
    </xf>
    <xf numFmtId="0" fontId="0" fillId="2" borderId="5" xfId="0" applyFill="1" applyBorder="1" applyAlignment="1">
      <alignment horizontal="center" vertical="center"/>
    </xf>
    <xf numFmtId="0" fontId="18" fillId="3" borderId="8" xfId="0" applyFont="1" applyFill="1" applyBorder="1" applyAlignment="1">
      <alignment vertical="top" wrapText="1"/>
    </xf>
    <xf numFmtId="0" fontId="18" fillId="0" borderId="0" xfId="0" applyFont="1" applyFill="1" applyAlignment="1">
      <alignment vertical="top" wrapText="1"/>
    </xf>
    <xf numFmtId="0" fontId="10" fillId="2" borderId="2" xfId="0" applyFont="1" applyFill="1" applyBorder="1" applyAlignment="1">
      <alignment horizontal="left" vertical="center"/>
    </xf>
    <xf numFmtId="0" fontId="0" fillId="2" borderId="2" xfId="0" applyNumberFormat="1" applyFill="1" applyBorder="1" applyAlignment="1">
      <alignment vertical="center"/>
    </xf>
    <xf numFmtId="0" fontId="0" fillId="2" borderId="3" xfId="0" applyNumberFormat="1" applyFill="1" applyBorder="1" applyAlignment="1">
      <alignment vertical="center"/>
    </xf>
    <xf numFmtId="0" fontId="0" fillId="2" borderId="4" xfId="0" applyNumberFormat="1" applyFill="1" applyBorder="1" applyAlignment="1">
      <alignment vertical="center"/>
    </xf>
    <xf numFmtId="0" fontId="18" fillId="0" borderId="0" xfId="0" applyFont="1" applyFill="1" applyBorder="1" applyAlignment="1">
      <alignment vertical="center"/>
    </xf>
    <xf numFmtId="0" fontId="18" fillId="2" borderId="7" xfId="0" applyFont="1" applyFill="1" applyBorder="1" applyAlignment="1">
      <alignment horizontal="right" vertical="center" wrapText="1"/>
    </xf>
    <xf numFmtId="0" fontId="10" fillId="2" borderId="1" xfId="0" applyNumberFormat="1" applyFont="1" applyFill="1" applyBorder="1" applyAlignment="1">
      <alignment horizontal="center" vertical="center"/>
    </xf>
    <xf numFmtId="49" fontId="18" fillId="0" borderId="0" xfId="0" applyNumberFormat="1" applyFont="1" applyFill="1" applyAlignment="1">
      <alignment vertical="center" wrapText="1"/>
    </xf>
    <xf numFmtId="49" fontId="46" fillId="3" borderId="0" xfId="0" applyNumberFormat="1" applyFont="1" applyFill="1" applyBorder="1" applyAlignment="1">
      <alignment vertical="center" wrapText="1"/>
    </xf>
    <xf numFmtId="0" fontId="45" fillId="2" borderId="1" xfId="0" applyNumberFormat="1" applyFont="1" applyFill="1" applyBorder="1" applyAlignment="1">
      <alignment horizontal="center" vertical="center" wrapText="1"/>
    </xf>
    <xf numFmtId="0" fontId="45" fillId="2" borderId="1" xfId="0" applyFont="1" applyFill="1" applyBorder="1" applyAlignment="1">
      <alignment horizontal="center" vertical="center"/>
    </xf>
    <xf numFmtId="2" fontId="45" fillId="2" borderId="1" xfId="0" applyNumberFormat="1" applyFont="1" applyFill="1" applyBorder="1" applyAlignment="1">
      <alignment horizontal="center" vertical="center"/>
    </xf>
    <xf numFmtId="0" fontId="45" fillId="2" borderId="1" xfId="0" quotePrefix="1" applyFont="1" applyFill="1" applyBorder="1" applyAlignment="1">
      <alignment horizontal="center" vertical="center"/>
    </xf>
    <xf numFmtId="0" fontId="18" fillId="2" borderId="5" xfId="0" applyFont="1" applyFill="1" applyBorder="1" applyAlignment="1">
      <alignment horizontal="left" vertical="center" wrapText="1"/>
    </xf>
    <xf numFmtId="1" fontId="18" fillId="2" borderId="1" xfId="0" quotePrefix="1" applyNumberFormat="1" applyFont="1" applyFill="1" applyBorder="1" applyAlignment="1">
      <alignment horizontal="center" vertical="center"/>
    </xf>
    <xf numFmtId="2" fontId="10" fillId="0" borderId="0" xfId="0" applyNumberFormat="1" applyFont="1" applyFill="1"/>
    <xf numFmtId="2" fontId="18" fillId="0" borderId="0" xfId="0" applyNumberFormat="1" applyFont="1" applyFill="1"/>
    <xf numFmtId="0" fontId="29" fillId="2" borderId="1" xfId="0" quotePrefix="1" applyNumberFormat="1" applyFont="1" applyFill="1" applyBorder="1" applyAlignment="1">
      <alignment horizontal="center" vertical="center"/>
    </xf>
    <xf numFmtId="2" fontId="29" fillId="2" borderId="1"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quotePrefix="1" applyNumberFormat="1" applyFont="1" applyFill="1" applyBorder="1" applyAlignment="1">
      <alignment horizontal="center" vertical="center"/>
    </xf>
    <xf numFmtId="2" fontId="29" fillId="0" borderId="0" xfId="0" applyNumberFormat="1" applyFont="1" applyFill="1" applyBorder="1" applyAlignment="1">
      <alignment horizontal="center" vertical="center"/>
    </xf>
    <xf numFmtId="0" fontId="18" fillId="0" borderId="0" xfId="0" applyFont="1" applyFill="1" applyBorder="1" applyAlignment="1">
      <alignment vertical="top"/>
    </xf>
    <xf numFmtId="0" fontId="18" fillId="0" borderId="0" xfId="0" applyFont="1" applyFill="1" applyAlignment="1">
      <alignment vertical="top"/>
    </xf>
    <xf numFmtId="2" fontId="18" fillId="0" borderId="0" xfId="0" applyNumberFormat="1" applyFont="1" applyFill="1" applyAlignment="1">
      <alignment vertical="top"/>
    </xf>
    <xf numFmtId="0" fontId="18" fillId="0" borderId="0" xfId="0" applyNumberFormat="1" applyFont="1" applyFill="1" applyBorder="1"/>
    <xf numFmtId="0" fontId="18" fillId="0" borderId="0" xfId="0" applyNumberFormat="1" applyFont="1" applyFill="1"/>
    <xf numFmtId="0" fontId="14" fillId="0" borderId="0" xfId="0" applyFont="1" applyFill="1"/>
    <xf numFmtId="0" fontId="9" fillId="0" borderId="0" xfId="0" quotePrefix="1" applyFont="1" applyFill="1" applyBorder="1" applyAlignment="1">
      <alignment vertical="center" wrapText="1"/>
    </xf>
    <xf numFmtId="0" fontId="18" fillId="0" borderId="0" xfId="1" applyFill="1"/>
    <xf numFmtId="0" fontId="23" fillId="2" borderId="0" xfId="0" applyFont="1" applyFill="1" applyBorder="1" applyAlignment="1">
      <alignment horizontal="center" vertical="center" wrapText="1"/>
    </xf>
    <xf numFmtId="0" fontId="13" fillId="2" borderId="0" xfId="0" applyFont="1" applyFill="1" applyAlignment="1">
      <alignment vertical="top" wrapText="1"/>
    </xf>
    <xf numFmtId="49" fontId="18" fillId="2" borderId="0" xfId="0" applyNumberFormat="1" applyFont="1" applyFill="1" applyBorder="1" applyAlignment="1">
      <alignment vertical="center" wrapText="1"/>
    </xf>
    <xf numFmtId="0" fontId="22" fillId="0" borderId="0" xfId="0" applyFont="1" applyFill="1" applyAlignment="1">
      <alignment vertical="top"/>
    </xf>
    <xf numFmtId="0" fontId="16" fillId="0" borderId="0" xfId="0" applyFont="1" applyFill="1" applyAlignment="1">
      <alignment vertical="center"/>
    </xf>
    <xf numFmtId="49" fontId="16" fillId="0" borderId="0" xfId="0" applyNumberFormat="1" applyFont="1" applyFill="1" applyBorder="1" applyAlignment="1">
      <alignment vertical="center" wrapText="1"/>
    </xf>
    <xf numFmtId="2" fontId="0" fillId="0" borderId="0" xfId="0" applyNumberFormat="1" applyFill="1" applyAlignment="1">
      <alignment horizontal="center" vertical="center"/>
    </xf>
    <xf numFmtId="2" fontId="13" fillId="0" borderId="0" xfId="0" applyNumberFormat="1" applyFont="1" applyFill="1" applyAlignment="1">
      <alignment horizontal="center" vertical="center"/>
    </xf>
    <xf numFmtId="2" fontId="16" fillId="0" borderId="0" xfId="0" applyNumberFormat="1" applyFont="1" applyFill="1" applyAlignment="1">
      <alignment horizontal="center" vertical="center"/>
    </xf>
    <xf numFmtId="0" fontId="7" fillId="0" borderId="1" xfId="0" applyFont="1" applyFill="1" applyBorder="1" applyAlignment="1">
      <alignment horizontal="center" vertical="center"/>
    </xf>
    <xf numFmtId="0" fontId="29" fillId="0" borderId="2" xfId="0" applyFont="1" applyFill="1" applyBorder="1" applyAlignment="1">
      <alignment vertical="center" wrapText="1"/>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wrapText="1"/>
    </xf>
    <xf numFmtId="0" fontId="13"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0"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xf>
    <xf numFmtId="0" fontId="16" fillId="0" borderId="1" xfId="0" applyFont="1" applyFill="1" applyBorder="1" applyAlignment="1">
      <alignment vertical="top" wrapText="1"/>
    </xf>
    <xf numFmtId="0" fontId="16"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4" xfId="0" applyNumberFormat="1" applyFont="1" applyFill="1" applyBorder="1" applyAlignment="1">
      <alignment vertical="center"/>
    </xf>
    <xf numFmtId="0" fontId="13" fillId="0" borderId="7" xfId="0" applyFont="1" applyFill="1" applyBorder="1" applyAlignment="1">
      <alignment vertical="top" wrapText="1"/>
    </xf>
    <xf numFmtId="0"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2" fontId="13" fillId="0" borderId="1" xfId="0" applyNumberFormat="1" applyFont="1" applyFill="1" applyBorder="1" applyAlignment="1">
      <alignment horizontal="center"/>
    </xf>
    <xf numFmtId="2" fontId="13" fillId="0" borderId="7" xfId="0" applyNumberFormat="1" applyFont="1" applyFill="1" applyBorder="1" applyAlignment="1">
      <alignment horizontal="center" vertical="center"/>
    </xf>
    <xf numFmtId="0" fontId="13" fillId="0" borderId="7" xfId="0" quotePrefix="1" applyFont="1" applyFill="1" applyBorder="1" applyAlignment="1">
      <alignment horizontal="center" vertical="center"/>
    </xf>
    <xf numFmtId="0" fontId="13" fillId="0" borderId="1" xfId="0" quotePrefix="1" applyFont="1" applyFill="1" applyBorder="1" applyAlignment="1">
      <alignment horizontal="center" vertical="center"/>
    </xf>
    <xf numFmtId="2" fontId="16" fillId="0" borderId="1" xfId="0" applyNumberFormat="1" applyFont="1" applyFill="1" applyBorder="1" applyAlignment="1">
      <alignment horizontal="center"/>
    </xf>
    <xf numFmtId="0" fontId="13" fillId="0" borderId="1" xfId="0" applyFont="1" applyFill="1" applyBorder="1" applyAlignment="1">
      <alignment horizontal="center" vertical="top"/>
    </xf>
    <xf numFmtId="0" fontId="23" fillId="0" borderId="2" xfId="0" applyFont="1" applyFill="1" applyBorder="1" applyAlignment="1">
      <alignment vertical="center" wrapText="1"/>
    </xf>
    <xf numFmtId="0" fontId="13" fillId="0" borderId="1" xfId="1" applyFont="1" applyFill="1" applyBorder="1" applyAlignment="1">
      <alignment vertical="top" wrapText="1"/>
    </xf>
    <xf numFmtId="1" fontId="13" fillId="0" borderId="7" xfId="0" applyNumberFormat="1" applyFont="1" applyFill="1" applyBorder="1" applyAlignment="1">
      <alignment horizontal="center" vertical="center"/>
    </xf>
    <xf numFmtId="0" fontId="13" fillId="0" borderId="1" xfId="0" applyFont="1" applyFill="1" applyBorder="1" applyAlignment="1">
      <alignment horizontal="center"/>
    </xf>
    <xf numFmtId="0" fontId="13" fillId="0" borderId="1" xfId="0" applyFont="1" applyFill="1" applyBorder="1" applyAlignment="1">
      <alignment horizontal="center" vertical="top" wrapText="1"/>
    </xf>
    <xf numFmtId="0" fontId="13" fillId="0" borderId="2" xfId="0" applyNumberFormat="1" applyFont="1" applyFill="1" applyBorder="1" applyAlignment="1">
      <alignment vertical="center"/>
    </xf>
    <xf numFmtId="0" fontId="13" fillId="0" borderId="3" xfId="0" applyNumberFormat="1" applyFont="1" applyFill="1" applyBorder="1" applyAlignment="1">
      <alignment vertical="center"/>
    </xf>
    <xf numFmtId="0" fontId="13" fillId="0" borderId="4" xfId="0" applyNumberFormat="1" applyFont="1" applyFill="1" applyBorder="1" applyAlignment="1">
      <alignmen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0" fontId="13" fillId="0" borderId="1" xfId="1" applyFont="1" applyFill="1" applyBorder="1" applyAlignment="1">
      <alignment vertical="center" wrapText="1"/>
    </xf>
    <xf numFmtId="0" fontId="9" fillId="0" borderId="1" xfId="0" applyFont="1" applyFill="1" applyBorder="1"/>
    <xf numFmtId="0" fontId="16" fillId="0" borderId="1" xfId="0" applyNumberFormat="1" applyFont="1" applyFill="1" applyBorder="1" applyAlignment="1">
      <alignment horizontal="center"/>
    </xf>
    <xf numFmtId="0" fontId="16" fillId="0" borderId="1" xfId="0" applyFont="1" applyFill="1" applyBorder="1" applyAlignment="1">
      <alignment horizontal="center"/>
    </xf>
    <xf numFmtId="0" fontId="16" fillId="0" borderId="2" xfId="0" applyFont="1" applyFill="1" applyBorder="1" applyAlignment="1">
      <alignment vertical="center"/>
    </xf>
    <xf numFmtId="0" fontId="16" fillId="0" borderId="3" xfId="0" applyFont="1" applyFill="1" applyBorder="1" applyAlignment="1">
      <alignment horizontal="center"/>
    </xf>
    <xf numFmtId="0" fontId="16" fillId="0" borderId="2" xfId="0" applyFont="1" applyFill="1" applyBorder="1" applyAlignment="1"/>
    <xf numFmtId="0" fontId="16" fillId="0" borderId="3" xfId="0" applyFont="1" applyFill="1" applyBorder="1" applyAlignment="1"/>
    <xf numFmtId="0" fontId="16" fillId="0" borderId="4" xfId="0" applyFont="1" applyFill="1" applyBorder="1" applyAlignment="1"/>
    <xf numFmtId="0" fontId="13" fillId="0" borderId="1" xfId="0" quotePrefix="1" applyFont="1" applyFill="1" applyBorder="1" applyAlignment="1">
      <alignment horizontal="center" vertical="center" wrapText="1"/>
    </xf>
    <xf numFmtId="0" fontId="13" fillId="0" borderId="10" xfId="0" applyNumberFormat="1" applyFont="1" applyFill="1" applyBorder="1" applyAlignment="1">
      <alignment horizontal="center" vertical="center"/>
    </xf>
    <xf numFmtId="0" fontId="13" fillId="0" borderId="12" xfId="0" applyFont="1" applyFill="1" applyBorder="1" applyAlignment="1">
      <alignment vertical="center" wrapText="1"/>
    </xf>
    <xf numFmtId="0" fontId="13" fillId="0" borderId="1" xfId="0" applyNumberFormat="1" applyFont="1" applyFill="1" applyBorder="1" applyAlignment="1">
      <alignment horizontal="center" vertical="top" wrapText="1"/>
    </xf>
    <xf numFmtId="0" fontId="13" fillId="0" borderId="1" xfId="0" applyFont="1" applyFill="1" applyBorder="1" applyAlignment="1">
      <alignment horizontal="left" vertical="center" wrapText="1"/>
    </xf>
    <xf numFmtId="0" fontId="34" fillId="0" borderId="0" xfId="0" applyFont="1" applyFill="1" applyAlignment="1">
      <alignment vertical="top" wrapText="1"/>
    </xf>
    <xf numFmtId="0" fontId="13" fillId="0" borderId="1" xfId="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center" vertical="top"/>
    </xf>
    <xf numFmtId="0" fontId="13" fillId="0" borderId="1" xfId="0" applyNumberFormat="1" applyFont="1" applyFill="1" applyBorder="1" applyAlignment="1">
      <alignment horizontal="center"/>
    </xf>
    <xf numFmtId="2" fontId="13" fillId="0" borderId="1" xfId="0" applyNumberFormat="1" applyFont="1" applyFill="1" applyBorder="1" applyAlignment="1">
      <alignment horizontal="right" vertical="top" wrapText="1"/>
    </xf>
    <xf numFmtId="0" fontId="16" fillId="0" borderId="1" xfId="0" applyFont="1" applyFill="1" applyBorder="1" applyAlignment="1">
      <alignment vertical="center" wrapText="1"/>
    </xf>
    <xf numFmtId="0" fontId="13" fillId="0" borderId="2" xfId="0" applyNumberFormat="1" applyFont="1" applyFill="1" applyBorder="1" applyAlignment="1"/>
    <xf numFmtId="0" fontId="13" fillId="0" borderId="3" xfId="0" applyNumberFormat="1" applyFont="1" applyFill="1" applyBorder="1" applyAlignment="1"/>
    <xf numFmtId="0" fontId="13" fillId="0" borderId="4" xfId="0" applyNumberFormat="1" applyFont="1" applyFill="1" applyBorder="1" applyAlignment="1"/>
    <xf numFmtId="0" fontId="36" fillId="0" borderId="1" xfId="0" applyNumberFormat="1" applyFont="1" applyFill="1" applyBorder="1" applyAlignment="1">
      <alignment horizontal="center" vertical="center"/>
    </xf>
    <xf numFmtId="0" fontId="16" fillId="0" borderId="1" xfId="0" applyFont="1" applyFill="1" applyBorder="1" applyAlignment="1">
      <alignment horizontal="center" vertical="top"/>
    </xf>
    <xf numFmtId="0" fontId="13" fillId="0" borderId="1" xfId="0" applyFont="1" applyFill="1" applyBorder="1"/>
    <xf numFmtId="49" fontId="38" fillId="0" borderId="0" xfId="0" applyNumberFormat="1" applyFont="1" applyFill="1" applyBorder="1" applyAlignment="1">
      <alignment vertical="center" wrapText="1"/>
    </xf>
    <xf numFmtId="0" fontId="18" fillId="0" borderId="13" xfId="0" applyFont="1" applyFill="1" applyBorder="1" applyAlignment="1">
      <alignment horizontal="center" vertical="center"/>
    </xf>
    <xf numFmtId="0" fontId="38" fillId="0" borderId="0" xfId="0" applyFont="1" applyFill="1" applyAlignment="1">
      <alignment vertical="center" wrapText="1"/>
    </xf>
    <xf numFmtId="0" fontId="13" fillId="0" borderId="0" xfId="0" applyFont="1" applyFill="1" applyBorder="1" applyAlignment="1">
      <alignment horizontal="left" vertical="center"/>
    </xf>
    <xf numFmtId="0" fontId="9" fillId="0" borderId="1" xfId="0" applyFont="1" applyFill="1" applyBorder="1" applyAlignment="1">
      <alignment horizontal="center" vertical="top"/>
    </xf>
    <xf numFmtId="0" fontId="9" fillId="0" borderId="1" xfId="0" applyFont="1" applyFill="1" applyBorder="1" applyAlignment="1">
      <alignment horizontal="center"/>
    </xf>
    <xf numFmtId="0" fontId="7" fillId="0" borderId="1" xfId="0" applyFont="1" applyFill="1" applyBorder="1" applyAlignment="1">
      <alignment horizontal="center" vertical="top"/>
    </xf>
    <xf numFmtId="0" fontId="16" fillId="0" borderId="1" xfId="0" applyFont="1" applyFill="1" applyBorder="1"/>
    <xf numFmtId="0" fontId="0" fillId="0" borderId="0" xfId="0" applyFill="1" applyBorder="1" applyAlignment="1">
      <alignment horizontal="center"/>
    </xf>
    <xf numFmtId="0" fontId="10" fillId="0" borderId="0" xfId="0" quotePrefix="1" applyFont="1" applyFill="1" applyBorder="1" applyAlignment="1">
      <alignment horizontal="center"/>
    </xf>
    <xf numFmtId="0" fontId="16" fillId="0" borderId="0" xfId="0" applyFont="1" applyFill="1" applyAlignment="1"/>
    <xf numFmtId="0" fontId="23" fillId="0" borderId="0" xfId="0" applyFont="1" applyFill="1" applyBorder="1" applyAlignment="1">
      <alignment vertical="center"/>
    </xf>
    <xf numFmtId="0" fontId="29" fillId="0" borderId="1" xfId="0" applyFont="1" applyFill="1" applyBorder="1" applyAlignment="1">
      <alignment horizontal="center" vertical="center"/>
    </xf>
    <xf numFmtId="0" fontId="29" fillId="0" borderId="6" xfId="0" applyFont="1" applyFill="1" applyBorder="1" applyAlignment="1">
      <alignment horizontal="center" vertical="center"/>
    </xf>
    <xf numFmtId="0" fontId="42" fillId="0" borderId="0" xfId="0" applyFont="1" applyFill="1" applyBorder="1" applyAlignment="1">
      <alignment vertical="center" wrapText="1"/>
    </xf>
    <xf numFmtId="0" fontId="0" fillId="0" borderId="0" xfId="0" applyFill="1" applyBorder="1" applyAlignment="1">
      <alignment wrapText="1"/>
    </xf>
    <xf numFmtId="0" fontId="0" fillId="0" borderId="0" xfId="0" applyNumberFormat="1" applyFill="1" applyBorder="1" applyAlignment="1">
      <alignment horizontal="center"/>
    </xf>
    <xf numFmtId="49" fontId="34" fillId="0" borderId="8" xfId="0" applyNumberFormat="1" applyFont="1" applyFill="1" applyBorder="1" applyAlignment="1">
      <alignment vertical="center" wrapText="1"/>
    </xf>
    <xf numFmtId="49" fontId="46" fillId="0" borderId="0" xfId="0" applyNumberFormat="1" applyFont="1" applyFill="1" applyBorder="1" applyAlignment="1">
      <alignment vertical="center" wrapText="1"/>
    </xf>
    <xf numFmtId="0" fontId="38" fillId="0" borderId="8" xfId="0" applyFont="1" applyFill="1" applyBorder="1" applyAlignment="1">
      <alignment vertical="center" wrapText="1"/>
    </xf>
    <xf numFmtId="0" fontId="38" fillId="0" borderId="0" xfId="0" applyFont="1" applyFill="1" applyBorder="1" applyAlignment="1">
      <alignment vertical="center" wrapText="1"/>
    </xf>
    <xf numFmtId="0" fontId="38" fillId="0" borderId="0" xfId="0" applyFont="1" applyFill="1" applyBorder="1" applyAlignment="1">
      <alignment horizontal="left" vertical="center" wrapText="1"/>
    </xf>
    <xf numFmtId="2" fontId="13" fillId="0" borderId="0" xfId="0" applyNumberFormat="1" applyFont="1" applyFill="1" applyBorder="1" applyAlignment="1">
      <alignment horizontal="center" vertical="center"/>
    </xf>
    <xf numFmtId="2" fontId="34" fillId="0" borderId="8" xfId="0" applyNumberFormat="1" applyFont="1" applyFill="1" applyBorder="1" applyAlignment="1">
      <alignment vertical="center"/>
    </xf>
    <xf numFmtId="0" fontId="10" fillId="0" borderId="0" xfId="0" applyFont="1" applyFill="1" applyBorder="1"/>
    <xf numFmtId="0" fontId="10" fillId="0" borderId="0" xfId="0" applyFont="1" applyFill="1" applyBorder="1" applyAlignment="1">
      <alignment horizontal="center" vertical="top"/>
    </xf>
    <xf numFmtId="0" fontId="10" fillId="0" borderId="0" xfId="0" applyFont="1" applyFill="1" applyBorder="1" applyAlignment="1">
      <alignment vertical="top"/>
    </xf>
    <xf numFmtId="2" fontId="10" fillId="0" borderId="0" xfId="0" applyNumberFormat="1" applyFont="1" applyFill="1" applyBorder="1" applyAlignment="1">
      <alignment horizontal="center" vertical="center"/>
    </xf>
    <xf numFmtId="0" fontId="13" fillId="0" borderId="0" xfId="0" applyFont="1" applyFill="1" applyBorder="1" applyAlignment="1">
      <alignment horizontal="left" vertical="top"/>
    </xf>
    <xf numFmtId="0" fontId="0" fillId="0" borderId="0" xfId="0" applyFill="1" applyAlignment="1">
      <alignment horizontal="center" vertical="top"/>
    </xf>
    <xf numFmtId="2" fontId="0" fillId="0" borderId="0" xfId="0" applyNumberFormat="1" applyFill="1" applyAlignment="1">
      <alignment horizontal="center" vertical="top"/>
    </xf>
    <xf numFmtId="0" fontId="29" fillId="0" borderId="0" xfId="0" applyFont="1" applyFill="1" applyBorder="1" applyAlignment="1">
      <alignment horizontal="left" vertical="center"/>
    </xf>
    <xf numFmtId="0" fontId="7" fillId="0" borderId="0" xfId="0" quotePrefix="1" applyFont="1" applyFill="1" applyAlignment="1"/>
    <xf numFmtId="0" fontId="0" fillId="0" borderId="0" xfId="0" applyFill="1" applyBorder="1" applyAlignment="1">
      <alignment horizontal="right"/>
    </xf>
    <xf numFmtId="0" fontId="16" fillId="0" borderId="1" xfId="0" applyFont="1" applyFill="1" applyBorder="1" applyAlignment="1">
      <alignment horizontal="center" wrapText="1"/>
    </xf>
    <xf numFmtId="49" fontId="47" fillId="0" borderId="0" xfId="0" applyNumberFormat="1"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xf>
    <xf numFmtId="0" fontId="0" fillId="0" borderId="0" xfId="0" applyFill="1" applyAlignment="1">
      <alignment vertical="top" wrapText="1"/>
    </xf>
    <xf numFmtId="0" fontId="0" fillId="0" borderId="0" xfId="0" applyFill="1" applyAlignment="1">
      <alignment horizontal="right" vertical="top"/>
    </xf>
    <xf numFmtId="0" fontId="0" fillId="0" borderId="0" xfId="0" applyFill="1" applyAlignment="1">
      <alignment horizontal="right"/>
    </xf>
    <xf numFmtId="2" fontId="18" fillId="5" borderId="1" xfId="0" applyNumberFormat="1" applyFont="1" applyFill="1" applyBorder="1" applyAlignment="1">
      <alignment horizontal="center" vertical="center"/>
    </xf>
    <xf numFmtId="2" fontId="18" fillId="5" borderId="0" xfId="0" applyNumberFormat="1" applyFont="1" applyFill="1" applyBorder="1" applyAlignment="1">
      <alignment horizontal="center" vertical="center"/>
    </xf>
    <xf numFmtId="0" fontId="18" fillId="5" borderId="1" xfId="0" quotePrefix="1" applyFont="1" applyFill="1" applyBorder="1" applyAlignment="1">
      <alignment horizontal="center" vertical="center"/>
    </xf>
    <xf numFmtId="2" fontId="18" fillId="5" borderId="1" xfId="0" quotePrefix="1" applyNumberFormat="1" applyFont="1" applyFill="1" applyBorder="1" applyAlignment="1">
      <alignment horizontal="center" vertical="center"/>
    </xf>
    <xf numFmtId="1" fontId="13"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2" fontId="16" fillId="0" borderId="1" xfId="0" applyNumberFormat="1" applyFont="1" applyFill="1" applyBorder="1" applyAlignment="1">
      <alignment horizontal="center" vertical="center" wrapText="1"/>
    </xf>
    <xf numFmtId="0" fontId="18" fillId="0" borderId="8" xfId="0" applyFont="1" applyFill="1" applyBorder="1" applyAlignment="1">
      <alignment vertical="top" wrapText="1"/>
    </xf>
    <xf numFmtId="0" fontId="16" fillId="0" borderId="1" xfId="0" applyNumberFormat="1" applyFont="1" applyFill="1" applyBorder="1" applyAlignment="1">
      <alignment vertical="center" wrapText="1"/>
    </xf>
    <xf numFmtId="0" fontId="16" fillId="0" borderId="5" xfId="0" applyFont="1" applyFill="1" applyBorder="1" applyAlignment="1">
      <alignment horizontal="center" vertical="center"/>
    </xf>
    <xf numFmtId="0" fontId="13" fillId="0" borderId="1" xfId="0" applyFont="1" applyFill="1" applyBorder="1" applyAlignment="1">
      <alignment vertical="center"/>
    </xf>
    <xf numFmtId="10" fontId="13" fillId="0" borderId="1" xfId="0" applyNumberFormat="1" applyFont="1" applyFill="1" applyBorder="1" applyAlignment="1">
      <alignment horizontal="center" vertical="center"/>
    </xf>
    <xf numFmtId="0" fontId="13" fillId="0" borderId="5" xfId="0" applyFont="1" applyFill="1" applyBorder="1" applyAlignment="1">
      <alignment vertical="center" wrapText="1"/>
    </xf>
    <xf numFmtId="2" fontId="13" fillId="0" borderId="1" xfId="0" applyNumberFormat="1" applyFont="1" applyFill="1" applyBorder="1" applyAlignment="1">
      <alignment vertical="center" wrapText="1"/>
    </xf>
    <xf numFmtId="49" fontId="16" fillId="0" borderId="1" xfId="0" applyNumberFormat="1" applyFont="1" applyFill="1" applyBorder="1" applyAlignment="1">
      <alignment vertical="center" wrapText="1"/>
    </xf>
    <xf numFmtId="0" fontId="16" fillId="0" borderId="1" xfId="0" applyFont="1" applyFill="1" applyBorder="1" applyAlignment="1">
      <alignment vertical="center"/>
    </xf>
    <xf numFmtId="0" fontId="13" fillId="0" borderId="1" xfId="0" applyFont="1" applyFill="1" applyBorder="1" applyAlignment="1">
      <alignment horizontal="left" vertical="top" wrapText="1"/>
    </xf>
    <xf numFmtId="2" fontId="13" fillId="0" borderId="1" xfId="0" applyNumberFormat="1" applyFont="1" applyFill="1" applyBorder="1" applyAlignment="1">
      <alignment horizontal="center" vertical="top" wrapText="1"/>
    </xf>
    <xf numFmtId="1" fontId="13" fillId="0" borderId="1" xfId="0" applyNumberFormat="1" applyFont="1" applyFill="1" applyBorder="1" applyAlignment="1">
      <alignment horizontal="center" vertical="top" wrapText="1"/>
    </xf>
    <xf numFmtId="0" fontId="13" fillId="0" borderId="0" xfId="0" applyFont="1" applyFill="1" applyAlignment="1">
      <alignment vertical="center" wrapText="1"/>
    </xf>
    <xf numFmtId="0" fontId="13" fillId="0" borderId="2" xfId="0" applyFont="1" applyFill="1" applyBorder="1" applyAlignment="1">
      <alignment vertical="top" wrapText="1"/>
    </xf>
    <xf numFmtId="0" fontId="13" fillId="0" borderId="1" xfId="0" applyFont="1" applyFill="1" applyBorder="1" applyAlignment="1">
      <alignment horizontal="left" vertical="top"/>
    </xf>
    <xf numFmtId="0" fontId="13" fillId="0" borderId="1" xfId="0" applyFont="1" applyFill="1" applyBorder="1" applyAlignment="1">
      <alignment horizontal="left" vertical="center"/>
    </xf>
    <xf numFmtId="0" fontId="13" fillId="0" borderId="5" xfId="0" applyFont="1" applyFill="1" applyBorder="1" applyAlignment="1">
      <alignment horizontal="center" vertical="center" wrapText="1"/>
    </xf>
    <xf numFmtId="0" fontId="13" fillId="0" borderId="2" xfId="0" applyFont="1" applyFill="1" applyBorder="1" applyAlignment="1">
      <alignment vertical="center"/>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horizontal="left" vertical="center"/>
    </xf>
    <xf numFmtId="1" fontId="13" fillId="0" borderId="2" xfId="0" applyNumberFormat="1" applyFont="1" applyFill="1" applyBorder="1" applyAlignment="1">
      <alignment vertical="top" wrapText="1"/>
    </xf>
    <xf numFmtId="1" fontId="13" fillId="0" borderId="3" xfId="0" applyNumberFormat="1" applyFont="1" applyFill="1" applyBorder="1" applyAlignment="1">
      <alignment vertical="top" wrapText="1"/>
    </xf>
    <xf numFmtId="1" fontId="13" fillId="0" borderId="4" xfId="0" applyNumberFormat="1" applyFont="1" applyFill="1" applyBorder="1" applyAlignment="1">
      <alignment vertical="top" wrapText="1"/>
    </xf>
    <xf numFmtId="0" fontId="16" fillId="0" borderId="2" xfId="0" applyFont="1" applyFill="1" applyBorder="1" applyAlignment="1">
      <alignment horizontal="left"/>
    </xf>
    <xf numFmtId="0" fontId="16" fillId="0" borderId="1" xfId="0" applyFont="1" applyFill="1" applyBorder="1" applyAlignment="1">
      <alignment vertical="top"/>
    </xf>
    <xf numFmtId="0" fontId="16" fillId="0" borderId="4" xfId="0" applyFont="1" applyFill="1" applyBorder="1" applyAlignment="1">
      <alignment horizontal="center" vertical="top"/>
    </xf>
    <xf numFmtId="0" fontId="16" fillId="0" borderId="5" xfId="0" applyFont="1" applyFill="1" applyBorder="1"/>
    <xf numFmtId="0" fontId="16" fillId="0" borderId="3" xfId="0" applyFont="1" applyFill="1" applyBorder="1" applyAlignment="1">
      <alignment horizontal="center" vertical="top"/>
    </xf>
    <xf numFmtId="0" fontId="13" fillId="0" borderId="5" xfId="0" applyFont="1" applyFill="1" applyBorder="1" applyAlignment="1">
      <alignment horizontal="center"/>
    </xf>
    <xf numFmtId="0" fontId="13" fillId="0" borderId="1" xfId="0" applyFont="1" applyFill="1" applyBorder="1" applyAlignment="1">
      <alignment vertical="top"/>
    </xf>
    <xf numFmtId="0" fontId="13" fillId="0" borderId="3" xfId="0" applyFont="1" applyFill="1" applyBorder="1" applyAlignment="1">
      <alignment vertical="top"/>
    </xf>
    <xf numFmtId="10" fontId="13" fillId="0" borderId="14" xfId="0" applyNumberFormat="1" applyFont="1" applyFill="1" applyBorder="1" applyAlignment="1">
      <alignment horizontal="center" vertical="top"/>
    </xf>
    <xf numFmtId="2" fontId="13" fillId="0" borderId="1" xfId="0" applyNumberFormat="1" applyFont="1" applyFill="1" applyBorder="1" applyAlignment="1">
      <alignment horizontal="center" vertical="top"/>
    </xf>
    <xf numFmtId="0" fontId="13" fillId="0" borderId="4" xfId="0" applyFont="1" applyFill="1" applyBorder="1" applyAlignment="1">
      <alignment horizontal="center" vertical="top"/>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left" vertical="center"/>
    </xf>
    <xf numFmtId="2" fontId="13" fillId="0" borderId="1" xfId="0" applyNumberFormat="1" applyFont="1" applyFill="1" applyBorder="1" applyAlignment="1">
      <alignment vertical="center"/>
    </xf>
    <xf numFmtId="164" fontId="13" fillId="0" borderId="1" xfId="0" applyNumberFormat="1" applyFont="1" applyFill="1" applyBorder="1" applyAlignment="1">
      <alignment horizontal="center" vertical="center"/>
    </xf>
    <xf numFmtId="0" fontId="13" fillId="0" borderId="4" xfId="0" applyFont="1" applyFill="1" applyBorder="1" applyAlignment="1">
      <alignment horizontal="center" vertical="top" wrapText="1"/>
    </xf>
    <xf numFmtId="2" fontId="13" fillId="0" borderId="1" xfId="0" applyNumberFormat="1" applyFont="1" applyFill="1" applyBorder="1" applyAlignment="1">
      <alignment vertical="top"/>
    </xf>
    <xf numFmtId="2" fontId="9"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0" fontId="18" fillId="0" borderId="1" xfId="0" applyNumberFormat="1" applyFont="1" applyFill="1" applyBorder="1" applyAlignment="1">
      <alignment horizontal="center" vertical="center"/>
    </xf>
    <xf numFmtId="2" fontId="18" fillId="0" borderId="1" xfId="0" applyNumberFormat="1" applyFont="1" applyFill="1" applyBorder="1" applyAlignment="1">
      <alignment horizontal="center" vertical="center"/>
    </xf>
    <xf numFmtId="0" fontId="18" fillId="0" borderId="1" xfId="0" applyNumberFormat="1" applyFont="1" applyFill="1" applyBorder="1" applyAlignment="1"/>
    <xf numFmtId="0" fontId="18" fillId="0" borderId="5" xfId="0" applyFont="1" applyFill="1" applyBorder="1" applyAlignment="1">
      <alignment horizontal="center"/>
    </xf>
    <xf numFmtId="0" fontId="18" fillId="0" borderId="5" xfId="0" applyFont="1" applyFill="1" applyBorder="1" applyAlignment="1">
      <alignment horizontal="center" vertical="center"/>
    </xf>
    <xf numFmtId="0" fontId="0" fillId="2" borderId="5" xfId="0" applyFill="1" applyBorder="1" applyAlignment="1">
      <alignment vertical="top"/>
    </xf>
    <xf numFmtId="2" fontId="13" fillId="0" borderId="3"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vertical="top" wrapText="1"/>
    </xf>
    <xf numFmtId="0" fontId="18" fillId="0" borderId="1" xfId="0" applyNumberFormat="1" applyFont="1" applyFill="1" applyBorder="1" applyAlignment="1">
      <alignment horizontal="center" vertical="center" wrapText="1"/>
    </xf>
    <xf numFmtId="0" fontId="18" fillId="0" borderId="1" xfId="0" quotePrefix="1" applyFont="1" applyFill="1" applyBorder="1" applyAlignment="1">
      <alignment horizontal="center" vertical="center"/>
    </xf>
    <xf numFmtId="2" fontId="18" fillId="0" borderId="7" xfId="0" quotePrefix="1" applyNumberFormat="1" applyFont="1" applyFill="1" applyBorder="1" applyAlignment="1">
      <alignment horizontal="center" vertical="center"/>
    </xf>
    <xf numFmtId="0" fontId="13" fillId="0" borderId="5"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4" fillId="0" borderId="0" xfId="0" applyNumberFormat="1" applyFont="1" applyFill="1" applyAlignment="1">
      <alignment vertical="center" wrapText="1"/>
    </xf>
    <xf numFmtId="49" fontId="4" fillId="0" borderId="0" xfId="0" applyNumberFormat="1" applyFont="1" applyFill="1" applyBorder="1" applyAlignment="1">
      <alignmen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wrapText="1"/>
    </xf>
    <xf numFmtId="49" fontId="3" fillId="0" borderId="0" xfId="0" applyNumberFormat="1" applyFont="1" applyFill="1" applyBorder="1" applyAlignment="1">
      <alignment wrapText="1"/>
    </xf>
    <xf numFmtId="4" fontId="3" fillId="0" borderId="0" xfId="0" applyNumberFormat="1" applyFont="1" applyFill="1" applyBorder="1" applyAlignment="1">
      <alignment horizontal="center" wrapText="1"/>
    </xf>
    <xf numFmtId="2" fontId="3" fillId="0" borderId="0" xfId="0" applyNumberFormat="1" applyFont="1" applyFill="1" applyBorder="1" applyAlignment="1">
      <alignment horizontal="right" wrapText="1"/>
    </xf>
    <xf numFmtId="0" fontId="7" fillId="0" borderId="0" xfId="0" applyFont="1" applyFill="1" applyAlignment="1">
      <alignment vertical="center"/>
    </xf>
    <xf numFmtId="49" fontId="7" fillId="0" borderId="0" xfId="0" applyNumberFormat="1" applyFont="1" applyFill="1" applyBorder="1" applyAlignment="1">
      <alignment horizontal="center" wrapText="1"/>
    </xf>
    <xf numFmtId="0" fontId="7" fillId="0" borderId="1" xfId="0" applyFont="1" applyFill="1" applyBorder="1" applyAlignment="1" applyProtection="1">
      <alignment horizontal="center" vertical="center" wrapText="1"/>
    </xf>
    <xf numFmtId="49" fontId="0" fillId="2" borderId="1" xfId="0" applyNumberFormat="1" applyFill="1" applyBorder="1" applyAlignment="1">
      <alignment wrapText="1"/>
    </xf>
    <xf numFmtId="1" fontId="11" fillId="2" borderId="1" xfId="0" applyNumberFormat="1" applyFont="1" applyFill="1" applyBorder="1" applyAlignment="1">
      <alignment horizontal="center" vertical="center" wrapText="1"/>
    </xf>
    <xf numFmtId="0" fontId="9" fillId="2" borderId="4" xfId="0" applyNumberFormat="1" applyFont="1" applyFill="1" applyBorder="1" applyAlignment="1">
      <alignment vertical="center" wrapText="1"/>
    </xf>
    <xf numFmtId="49" fontId="9" fillId="2" borderId="1" xfId="0" applyNumberFormat="1" applyFont="1" applyFill="1" applyBorder="1" applyAlignment="1">
      <alignment vertical="top" wrapText="1"/>
    </xf>
    <xf numFmtId="0" fontId="9" fillId="2" borderId="1" xfId="0" applyNumberFormat="1"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1" fontId="9" fillId="2" borderId="1" xfId="0" applyNumberFormat="1" applyFont="1" applyFill="1" applyBorder="1" applyAlignment="1">
      <alignment horizontal="center" vertical="top" wrapText="1"/>
    </xf>
    <xf numFmtId="2" fontId="9"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2" fontId="11" fillId="2" borderId="1" xfId="0" applyNumberFormat="1" applyFont="1" applyFill="1" applyBorder="1" applyAlignment="1">
      <alignment horizontal="center" vertical="top" wrapText="1"/>
    </xf>
    <xf numFmtId="164" fontId="11" fillId="2" borderId="1" xfId="0" applyNumberFormat="1" applyFont="1" applyFill="1" applyBorder="1" applyAlignment="1">
      <alignment horizontal="center" vertical="center" wrapText="1"/>
    </xf>
    <xf numFmtId="0" fontId="9" fillId="2" borderId="0" xfId="0" applyFont="1" applyFill="1" applyAlignment="1">
      <alignment vertical="top" wrapText="1"/>
    </xf>
    <xf numFmtId="0" fontId="3" fillId="0" borderId="8" xfId="0" applyFont="1" applyFill="1" applyBorder="1" applyAlignment="1">
      <alignment vertical="center" wrapText="1"/>
    </xf>
    <xf numFmtId="2" fontId="28" fillId="2" borderId="1" xfId="0" applyNumberFormat="1" applyFont="1" applyFill="1" applyBorder="1" applyAlignment="1">
      <alignment horizontal="center" vertical="center" wrapText="1"/>
    </xf>
    <xf numFmtId="2" fontId="48" fillId="2" borderId="1" xfId="0" applyNumberFormat="1" applyFont="1" applyFill="1" applyBorder="1" applyAlignment="1">
      <alignment horizontal="center" vertical="center" wrapText="1"/>
    </xf>
    <xf numFmtId="2" fontId="4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0" fontId="7" fillId="2" borderId="2" xfId="0" applyNumberFormat="1" applyFont="1" applyFill="1" applyBorder="1" applyAlignment="1">
      <alignment horizontal="center" vertical="top" wrapText="1"/>
    </xf>
    <xf numFmtId="0" fontId="9" fillId="2" borderId="3" xfId="0" applyNumberFormat="1" applyFont="1" applyFill="1" applyBorder="1" applyAlignment="1">
      <alignment horizontal="center" vertical="center" wrapText="1"/>
    </xf>
    <xf numFmtId="0" fontId="9" fillId="2" borderId="2" xfId="0" applyNumberFormat="1" applyFont="1" applyFill="1" applyBorder="1" applyAlignment="1">
      <alignment vertical="top" wrapText="1"/>
    </xf>
    <xf numFmtId="0" fontId="9" fillId="2" borderId="1" xfId="0" applyNumberFormat="1" applyFont="1" applyFill="1" applyBorder="1" applyAlignment="1">
      <alignment vertical="top" wrapText="1"/>
    </xf>
    <xf numFmtId="2" fontId="9" fillId="2" borderId="3" xfId="0" applyNumberFormat="1" applyFont="1" applyFill="1" applyBorder="1" applyAlignment="1">
      <alignment horizontal="center" vertical="top" wrapText="1"/>
    </xf>
    <xf numFmtId="165" fontId="9" fillId="2" borderId="1" xfId="0" applyNumberFormat="1" applyFont="1" applyFill="1" applyBorder="1" applyAlignment="1">
      <alignment horizontal="center" vertical="top" wrapText="1"/>
    </xf>
    <xf numFmtId="49" fontId="3" fillId="0" borderId="0" xfId="0" applyNumberFormat="1" applyFont="1" applyFill="1" applyBorder="1" applyAlignment="1">
      <alignment vertical="center" wrapText="1"/>
    </xf>
    <xf numFmtId="49" fontId="0" fillId="4" borderId="0" xfId="0" applyNumberFormat="1" applyFill="1" applyAlignment="1">
      <alignment wrapText="1"/>
    </xf>
    <xf numFmtId="2" fontId="9" fillId="2" borderId="0" xfId="0" applyNumberFormat="1" applyFont="1" applyFill="1" applyBorder="1" applyAlignment="1">
      <alignment horizontal="center" vertical="center" wrapText="1"/>
    </xf>
    <xf numFmtId="49" fontId="9" fillId="2" borderId="1" xfId="0" quotePrefix="1" applyNumberFormat="1" applyFont="1" applyFill="1" applyBorder="1" applyAlignment="1">
      <alignment horizontal="center" vertical="top" wrapText="1"/>
    </xf>
    <xf numFmtId="2" fontId="9" fillId="2" borderId="1" xfId="0" quotePrefix="1" applyNumberFormat="1" applyFont="1" applyFill="1" applyBorder="1" applyAlignment="1">
      <alignment horizontal="center" vertical="center" wrapText="1"/>
    </xf>
    <xf numFmtId="49" fontId="3" fillId="0" borderId="0" xfId="0" applyNumberFormat="1" applyFont="1" applyFill="1" applyAlignment="1">
      <alignment wrapText="1"/>
    </xf>
    <xf numFmtId="0" fontId="9" fillId="2" borderId="0" xfId="0" applyFont="1" applyFill="1" applyBorder="1" applyAlignment="1">
      <alignment horizontal="center" vertical="center"/>
    </xf>
    <xf numFmtId="0" fontId="9" fillId="0" borderId="0" xfId="0" applyFont="1" applyFill="1" applyBorder="1" applyAlignment="1">
      <alignment horizontal="center" vertical="center"/>
    </xf>
    <xf numFmtId="49" fontId="7" fillId="2" borderId="1" xfId="0" applyNumberFormat="1" applyFont="1" applyFill="1" applyBorder="1" applyAlignment="1">
      <alignment horizontal="center" vertical="top" wrapText="1"/>
    </xf>
    <xf numFmtId="49" fontId="9" fillId="0" borderId="0" xfId="0" applyNumberFormat="1" applyFont="1" applyFill="1" applyBorder="1" applyAlignment="1">
      <alignment horizontal="center" wrapText="1"/>
    </xf>
    <xf numFmtId="0" fontId="9" fillId="0" borderId="0" xfId="0" applyNumberFormat="1" applyFont="1" applyFill="1" applyBorder="1" applyAlignment="1">
      <alignment horizontal="center" wrapText="1"/>
    </xf>
    <xf numFmtId="2" fontId="9" fillId="0" borderId="0" xfId="0" applyNumberFormat="1" applyFont="1" applyFill="1" applyBorder="1" applyAlignment="1">
      <alignment horizontal="right" wrapText="1"/>
    </xf>
    <xf numFmtId="2" fontId="7" fillId="0" borderId="0" xfId="0" applyNumberFormat="1" applyFont="1" applyFill="1" applyBorder="1" applyAlignment="1">
      <alignment horizontal="right" wrapText="1"/>
    </xf>
    <xf numFmtId="2" fontId="7"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top" wrapText="1"/>
    </xf>
    <xf numFmtId="49" fontId="3" fillId="0" borderId="0" xfId="0" applyNumberFormat="1" applyFont="1" applyFill="1" applyAlignment="1">
      <alignment vertical="top" wrapText="1"/>
    </xf>
    <xf numFmtId="0" fontId="5"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center" vertical="top"/>
    </xf>
    <xf numFmtId="0" fontId="7" fillId="0" borderId="0" xfId="0" applyFont="1" applyFill="1" applyBorder="1" applyAlignment="1">
      <alignment horizontal="center" vertical="center" wrapText="1"/>
    </xf>
    <xf numFmtId="0" fontId="0" fillId="0" borderId="0" xfId="0" applyFill="1" applyBorder="1" applyAlignment="1">
      <alignment horizontal="center" vertical="top"/>
    </xf>
    <xf numFmtId="2" fontId="16" fillId="0" borderId="1" xfId="7"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3" fillId="2" borderId="1" xfId="0" applyNumberFormat="1" applyFont="1" applyFill="1" applyBorder="1" applyAlignment="1">
      <alignment vertical="center" wrapText="1"/>
    </xf>
    <xf numFmtId="1" fontId="0" fillId="2" borderId="1" xfId="0" applyNumberForma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2" fontId="0" fillId="2" borderId="1" xfId="0" applyNumberFormat="1" applyFill="1" applyBorder="1" applyAlignment="1">
      <alignment horizontal="center" vertical="center" wrapText="1"/>
    </xf>
    <xf numFmtId="49" fontId="10" fillId="0" borderId="0" xfId="7" applyNumberFormat="1" applyFont="1" applyFill="1" applyAlignment="1">
      <alignment wrapText="1"/>
    </xf>
    <xf numFmtId="2" fontId="44" fillId="2" borderId="1" xfId="0" applyNumberFormat="1" applyFont="1" applyFill="1" applyBorder="1" applyAlignment="1">
      <alignment horizontal="center" vertical="center" wrapText="1"/>
    </xf>
    <xf numFmtId="2" fontId="12" fillId="2" borderId="1" xfId="7"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2" fontId="12" fillId="2" borderId="1" xfId="7" applyNumberFormat="1" applyFont="1" applyFill="1" applyBorder="1" applyAlignment="1">
      <alignment horizontal="center" vertical="top" wrapText="1"/>
    </xf>
    <xf numFmtId="0" fontId="3" fillId="0" borderId="0" xfId="0" applyFont="1" applyFill="1" applyBorder="1" applyAlignment="1">
      <alignment vertical="center" wrapText="1"/>
    </xf>
    <xf numFmtId="1" fontId="0" fillId="2" borderId="1" xfId="0" applyNumberFormat="1" applyFill="1" applyBorder="1" applyAlignment="1">
      <alignment horizontal="left" vertical="center" wrapText="1"/>
    </xf>
    <xf numFmtId="2" fontId="12" fillId="2" borderId="1" xfId="7" applyNumberFormat="1" applyFont="1" applyFill="1" applyBorder="1" applyAlignment="1">
      <alignment horizontal="center" vertical="top"/>
    </xf>
    <xf numFmtId="0" fontId="3" fillId="2" borderId="0" xfId="0" applyFont="1" applyFill="1" applyAlignment="1">
      <alignment vertical="top" wrapText="1"/>
    </xf>
    <xf numFmtId="0" fontId="0" fillId="2" borderId="1" xfId="0" applyFill="1" applyBorder="1" applyAlignment="1">
      <alignment horizontal="center" vertical="top" wrapText="1"/>
    </xf>
    <xf numFmtId="0" fontId="3" fillId="2" borderId="1" xfId="0" applyFont="1" applyFill="1" applyBorder="1" applyAlignment="1">
      <alignment vertical="top" wrapText="1"/>
    </xf>
    <xf numFmtId="1" fontId="0" fillId="2" borderId="2" xfId="0" applyNumberFormat="1" applyFill="1" applyBorder="1" applyAlignment="1">
      <alignment vertical="center" wrapText="1"/>
    </xf>
    <xf numFmtId="1" fontId="0" fillId="2" borderId="3" xfId="0" applyNumberFormat="1" applyFill="1" applyBorder="1" applyAlignment="1">
      <alignment vertical="center" wrapText="1"/>
    </xf>
    <xf numFmtId="1" fontId="0" fillId="2" borderId="4" xfId="0" applyNumberFormat="1" applyFill="1" applyBorder="1" applyAlignment="1">
      <alignment vertical="center" wrapText="1"/>
    </xf>
    <xf numFmtId="0" fontId="0" fillId="2" borderId="0" xfId="0" applyFill="1" applyAlignment="1">
      <alignment horizont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1" fontId="0" fillId="2" borderId="1" xfId="0" applyNumberFormat="1" applyFill="1" applyBorder="1" applyAlignment="1">
      <alignment vertical="center" wrapText="1"/>
    </xf>
    <xf numFmtId="165" fontId="0" fillId="2" borderId="1" xfId="0" applyNumberFormat="1" applyFill="1" applyBorder="1" applyAlignment="1">
      <alignment horizontal="center" vertical="center" wrapText="1"/>
    </xf>
    <xf numFmtId="0" fontId="3" fillId="0" borderId="0" xfId="0" applyFont="1" applyFill="1"/>
    <xf numFmtId="2" fontId="3" fillId="2" borderId="1"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Fill="1" applyAlignment="1">
      <alignment horizontal="center" vertical="center"/>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 fillId="0" borderId="0" xfId="8" applyFill="1" applyBorder="1"/>
    <xf numFmtId="0" fontId="5" fillId="0" borderId="0" xfId="8" applyFont="1" applyFill="1" applyBorder="1" applyAlignment="1"/>
    <xf numFmtId="0" fontId="4" fillId="0" borderId="0" xfId="8" applyFont="1" applyFill="1" applyBorder="1" applyAlignment="1"/>
    <xf numFmtId="0" fontId="1" fillId="0" borderId="0" xfId="8" applyFill="1"/>
    <xf numFmtId="0" fontId="4" fillId="0" borderId="0" xfId="8" applyFont="1" applyFill="1" applyBorder="1" applyAlignment="1">
      <alignment horizontal="center"/>
    </xf>
    <xf numFmtId="0" fontId="7" fillId="0" borderId="0" xfId="8" applyFont="1" applyFill="1" applyBorder="1" applyAlignment="1">
      <alignment vertical="center" wrapText="1"/>
    </xf>
    <xf numFmtId="0" fontId="7" fillId="0" borderId="0" xfId="8" applyFont="1" applyFill="1" applyBorder="1" applyAlignment="1">
      <alignment horizontal="center" vertical="center" wrapText="1"/>
    </xf>
    <xf numFmtId="0" fontId="7" fillId="0" borderId="0" xfId="8" applyFont="1" applyFill="1" applyAlignment="1">
      <alignment horizontal="center"/>
    </xf>
    <xf numFmtId="0" fontId="23" fillId="2" borderId="0" xfId="0" applyFont="1" applyFill="1" applyBorder="1" applyAlignment="1">
      <alignment horizontal="center"/>
    </xf>
    <xf numFmtId="0" fontId="16" fillId="0" borderId="0" xfId="8" applyFont="1" applyFill="1" applyBorder="1" applyAlignment="1">
      <alignment horizontal="center"/>
    </xf>
    <xf numFmtId="2" fontId="16" fillId="0" borderId="9" xfId="8" applyNumberFormat="1" applyFont="1" applyFill="1" applyBorder="1" applyAlignment="1">
      <alignment wrapText="1"/>
    </xf>
    <xf numFmtId="0" fontId="16" fillId="0" borderId="1" xfId="8" applyFont="1" applyFill="1" applyBorder="1" applyAlignment="1">
      <alignment horizontal="center" vertical="center" wrapText="1"/>
    </xf>
    <xf numFmtId="0" fontId="16" fillId="0" borderId="1" xfId="8" applyFont="1" applyFill="1" applyBorder="1" applyAlignment="1">
      <alignment horizontal="center" vertical="center"/>
    </xf>
    <xf numFmtId="0" fontId="16" fillId="0" borderId="1" xfId="8" applyFont="1" applyFill="1" applyBorder="1" applyAlignment="1">
      <alignment horizontal="center"/>
    </xf>
    <xf numFmtId="0" fontId="13" fillId="2" borderId="1" xfId="8" applyFont="1" applyFill="1" applyBorder="1" applyAlignment="1">
      <alignment horizontal="center" vertical="center" wrapText="1"/>
    </xf>
    <xf numFmtId="49" fontId="13" fillId="2" borderId="1" xfId="8" applyNumberFormat="1" applyFont="1" applyFill="1" applyBorder="1" applyAlignment="1">
      <alignment vertical="top" wrapText="1"/>
    </xf>
    <xf numFmtId="0" fontId="13" fillId="2" borderId="1" xfId="8" applyNumberFormat="1" applyFont="1" applyFill="1" applyBorder="1" applyAlignment="1">
      <alignment horizontal="center" vertical="center" wrapText="1"/>
    </xf>
    <xf numFmtId="2" fontId="13" fillId="2" borderId="1" xfId="8" applyNumberFormat="1" applyFont="1" applyFill="1" applyBorder="1" applyAlignment="1">
      <alignment horizontal="center" vertical="center" wrapText="1"/>
    </xf>
    <xf numFmtId="0" fontId="13" fillId="2" borderId="1" xfId="8" applyFont="1" applyFill="1" applyBorder="1" applyAlignment="1">
      <alignment horizontal="left" vertical="top" wrapText="1"/>
    </xf>
    <xf numFmtId="0" fontId="32" fillId="0" borderId="0" xfId="8" applyFont="1" applyFill="1" applyAlignment="1">
      <alignment vertical="center"/>
    </xf>
    <xf numFmtId="0" fontId="52" fillId="2" borderId="0" xfId="8" applyFont="1" applyFill="1" applyAlignment="1">
      <alignment horizontal="center" vertical="center"/>
    </xf>
    <xf numFmtId="0" fontId="13" fillId="2" borderId="1" xfId="8" applyFont="1" applyFill="1" applyBorder="1" applyAlignment="1">
      <alignment horizontal="left" vertical="center" wrapText="1"/>
    </xf>
    <xf numFmtId="0" fontId="13" fillId="2" borderId="5" xfId="8" applyNumberFormat="1" applyFont="1" applyFill="1" applyBorder="1" applyAlignment="1">
      <alignment horizontal="center" vertical="center" wrapText="1"/>
    </xf>
    <xf numFmtId="0" fontId="1" fillId="0" borderId="0" xfId="8" applyFill="1" applyAlignment="1">
      <alignment horizontal="center"/>
    </xf>
    <xf numFmtId="2" fontId="12" fillId="2" borderId="1" xfId="7" applyNumberFormat="1" applyFont="1" applyFill="1" applyBorder="1" applyAlignment="1">
      <alignment horizontal="center" vertical="center"/>
    </xf>
    <xf numFmtId="0" fontId="13" fillId="2" borderId="5" xfId="8" applyFont="1" applyFill="1" applyBorder="1" applyAlignment="1">
      <alignment horizontal="center" vertical="center" wrapText="1"/>
    </xf>
    <xf numFmtId="2" fontId="13" fillId="5" borderId="1" xfId="8" applyNumberFormat="1" applyFont="1" applyFill="1" applyBorder="1" applyAlignment="1">
      <alignment horizontal="center" vertical="center" wrapText="1"/>
    </xf>
    <xf numFmtId="0" fontId="13" fillId="2" borderId="1" xfId="8" applyFont="1" applyFill="1" applyBorder="1" applyAlignment="1">
      <alignment vertical="center" wrapText="1"/>
    </xf>
    <xf numFmtId="0" fontId="13" fillId="2" borderId="1" xfId="8" applyFont="1" applyFill="1" applyBorder="1" applyAlignment="1">
      <alignment vertical="top" wrapText="1"/>
    </xf>
    <xf numFmtId="0" fontId="13" fillId="2" borderId="7" xfId="8" applyNumberFormat="1" applyFont="1" applyFill="1" applyBorder="1" applyAlignment="1">
      <alignment horizontal="center" vertical="center"/>
    </xf>
    <xf numFmtId="0" fontId="13" fillId="2" borderId="1" xfId="8" applyFont="1" applyFill="1" applyBorder="1" applyAlignment="1">
      <alignment horizontal="center" vertical="center"/>
    </xf>
    <xf numFmtId="0" fontId="46" fillId="2" borderId="1" xfId="8" applyFont="1" applyFill="1" applyBorder="1" applyAlignment="1">
      <alignment horizontal="center" vertical="top" wrapText="1"/>
    </xf>
    <xf numFmtId="0" fontId="13" fillId="2" borderId="1" xfId="8" applyFont="1" applyFill="1" applyBorder="1" applyAlignment="1">
      <alignment horizontal="center" vertical="top" wrapText="1"/>
    </xf>
    <xf numFmtId="0" fontId="13" fillId="2" borderId="5" xfId="8" applyNumberFormat="1" applyFont="1" applyFill="1" applyBorder="1" applyAlignment="1">
      <alignment vertical="top" wrapText="1"/>
    </xf>
    <xf numFmtId="2" fontId="13" fillId="2" borderId="1" xfId="8" applyNumberFormat="1" applyFont="1" applyFill="1" applyBorder="1" applyAlignment="1">
      <alignment horizontal="center" vertical="top" wrapText="1"/>
    </xf>
    <xf numFmtId="0" fontId="16" fillId="2" borderId="1" xfId="8" applyFont="1" applyFill="1" applyBorder="1" applyAlignment="1">
      <alignment horizontal="center" vertical="center" wrapText="1"/>
    </xf>
    <xf numFmtId="0" fontId="16" fillId="2" borderId="1" xfId="8" applyNumberFormat="1" applyFont="1" applyFill="1" applyBorder="1" applyAlignment="1">
      <alignment horizontal="left" vertical="top" wrapText="1"/>
    </xf>
    <xf numFmtId="0" fontId="16" fillId="2" borderId="1" xfId="8" applyFont="1" applyFill="1" applyBorder="1" applyAlignment="1">
      <alignment vertical="top" wrapText="1"/>
    </xf>
    <xf numFmtId="0" fontId="16" fillId="2" borderId="1" xfId="8" applyFont="1" applyFill="1" applyBorder="1" applyAlignment="1">
      <alignment horizontal="center" vertical="top" wrapText="1"/>
    </xf>
    <xf numFmtId="2" fontId="16" fillId="2" borderId="1" xfId="8" applyNumberFormat="1" applyFont="1" applyFill="1" applyBorder="1" applyAlignment="1">
      <alignment horizontal="center" vertical="top" wrapText="1"/>
    </xf>
    <xf numFmtId="0" fontId="16" fillId="2" borderId="3" xfId="8" applyFont="1" applyFill="1" applyBorder="1" applyAlignment="1">
      <alignment vertical="top" wrapText="1"/>
    </xf>
    <xf numFmtId="0" fontId="16" fillId="2" borderId="3" xfId="8" applyFont="1" applyFill="1" applyBorder="1" applyAlignment="1">
      <alignment horizontal="center" vertical="top" wrapText="1"/>
    </xf>
    <xf numFmtId="0" fontId="13" fillId="2" borderId="1" xfId="8" applyFont="1" applyFill="1" applyBorder="1" applyAlignment="1"/>
    <xf numFmtId="0" fontId="13" fillId="2" borderId="3" xfId="8" applyFont="1" applyFill="1" applyBorder="1" applyAlignment="1"/>
    <xf numFmtId="0" fontId="13" fillId="2" borderId="3" xfId="8" applyFont="1" applyFill="1" applyBorder="1" applyAlignment="1">
      <alignment horizontal="center"/>
    </xf>
    <xf numFmtId="2" fontId="13" fillId="2" borderId="1" xfId="8" applyNumberFormat="1" applyFont="1" applyFill="1" applyBorder="1" applyAlignment="1">
      <alignment horizontal="center" vertical="center"/>
    </xf>
    <xf numFmtId="10" fontId="13" fillId="2" borderId="1" xfId="8" applyNumberFormat="1" applyFont="1" applyFill="1" applyBorder="1" applyAlignment="1">
      <alignment horizontal="right" vertical="center" wrapText="1"/>
    </xf>
    <xf numFmtId="2" fontId="16" fillId="2" borderId="1" xfId="8" applyNumberFormat="1" applyFont="1" applyFill="1" applyBorder="1" applyAlignment="1">
      <alignment horizontal="center" vertical="center"/>
    </xf>
    <xf numFmtId="0" fontId="13" fillId="2" borderId="1" xfId="8" applyFont="1" applyFill="1" applyBorder="1" applyAlignment="1">
      <alignment horizontal="left" wrapText="1"/>
    </xf>
    <xf numFmtId="0" fontId="13" fillId="2" borderId="1" xfId="8" applyFont="1" applyFill="1" applyBorder="1" applyAlignment="1">
      <alignment horizontal="center" wrapText="1"/>
    </xf>
    <xf numFmtId="0" fontId="13" fillId="2" borderId="0" xfId="0" applyFont="1" applyFill="1" applyBorder="1" applyAlignment="1">
      <alignment horizontal="center" vertical="center"/>
    </xf>
    <xf numFmtId="0" fontId="1" fillId="0" borderId="0" xfId="8" applyFill="1" applyAlignment="1">
      <alignment horizontal="center" vertical="center"/>
    </xf>
    <xf numFmtId="2" fontId="1" fillId="0" borderId="0" xfId="8" applyNumberFormat="1" applyFill="1"/>
    <xf numFmtId="9" fontId="13" fillId="2" borderId="1" xfId="8" applyNumberFormat="1" applyFont="1" applyFill="1" applyBorder="1" applyAlignment="1">
      <alignment horizontal="center" vertical="center" wrapText="1"/>
    </xf>
    <xf numFmtId="0" fontId="13" fillId="0" borderId="0" xfId="8" applyFont="1" applyFill="1"/>
    <xf numFmtId="0" fontId="13" fillId="0" borderId="0" xfId="8" applyFont="1" applyFill="1" applyBorder="1" applyAlignment="1">
      <alignment horizontal="center" vertical="center" wrapText="1"/>
    </xf>
    <xf numFmtId="0" fontId="13" fillId="0" borderId="0" xfId="8" applyFont="1" applyFill="1" applyBorder="1" applyAlignment="1">
      <alignment vertical="center" wrapText="1"/>
    </xf>
    <xf numFmtId="0" fontId="13" fillId="0" borderId="0" xfId="8" applyFont="1" applyFill="1" applyBorder="1" applyAlignment="1">
      <alignment horizontal="center" vertical="top" wrapText="1"/>
    </xf>
    <xf numFmtId="2" fontId="13" fillId="0" borderId="0" xfId="8" applyNumberFormat="1" applyFont="1" applyFill="1" applyBorder="1" applyAlignment="1">
      <alignment horizontal="left" vertical="center" wrapText="1"/>
    </xf>
    <xf numFmtId="2" fontId="16" fillId="0" borderId="0" xfId="8" applyNumberFormat="1" applyFont="1" applyFill="1" applyAlignment="1">
      <alignment horizontal="center"/>
    </xf>
    <xf numFmtId="0" fontId="13" fillId="0" borderId="1" xfId="8" applyFont="1" applyFill="1" applyBorder="1" applyAlignment="1">
      <alignment horizontal="center" vertical="center" wrapText="1"/>
    </xf>
    <xf numFmtId="0" fontId="13" fillId="0" borderId="1" xfId="8" applyFont="1" applyFill="1" applyBorder="1" applyAlignment="1">
      <alignment horizontal="left" vertical="center" wrapText="1"/>
    </xf>
    <xf numFmtId="0" fontId="13" fillId="0" borderId="1" xfId="8" applyFont="1" applyFill="1" applyBorder="1" applyAlignment="1">
      <alignment horizontal="center" vertical="center"/>
    </xf>
    <xf numFmtId="2" fontId="13" fillId="0" borderId="1" xfId="8" applyNumberFormat="1" applyFont="1" applyFill="1" applyBorder="1" applyAlignment="1">
      <alignment horizontal="center" vertical="center" wrapText="1"/>
    </xf>
    <xf numFmtId="1" fontId="13" fillId="0" borderId="1" xfId="8" applyNumberFormat="1" applyFont="1" applyFill="1" applyBorder="1" applyAlignment="1">
      <alignment horizontal="center" wrapText="1"/>
    </xf>
    <xf numFmtId="2" fontId="13" fillId="0" borderId="1" xfId="8" applyNumberFormat="1" applyFont="1" applyFill="1" applyBorder="1" applyAlignment="1">
      <alignment horizontal="center" vertical="center"/>
    </xf>
    <xf numFmtId="0" fontId="4" fillId="0" borderId="0" xfId="0" applyFont="1" applyFill="1" applyBorder="1" applyAlignment="1">
      <alignment horizontal="center"/>
    </xf>
    <xf numFmtId="0" fontId="16" fillId="0" borderId="1" xfId="0" applyFont="1" applyFill="1" applyBorder="1" applyAlignment="1">
      <alignment horizontal="center"/>
    </xf>
    <xf numFmtId="49" fontId="9" fillId="0" borderId="1" xfId="0" applyNumberFormat="1" applyFont="1" applyFill="1" applyBorder="1" applyAlignment="1">
      <alignment horizontal="left" vertical="center" wrapText="1"/>
    </xf>
    <xf numFmtId="2" fontId="7" fillId="0" borderId="2" xfId="0" applyNumberFormat="1" applyFont="1" applyFill="1" applyBorder="1" applyAlignment="1">
      <alignment horizontal="center" vertical="center" wrapText="1"/>
    </xf>
    <xf numFmtId="2" fontId="7" fillId="0" borderId="3"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6"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top" wrapText="1"/>
    </xf>
    <xf numFmtId="49" fontId="9" fillId="2" borderId="6" xfId="0" applyNumberFormat="1" applyFont="1" applyFill="1" applyBorder="1" applyAlignment="1">
      <alignment horizontal="center" vertical="top" wrapText="1"/>
    </xf>
    <xf numFmtId="49" fontId="9" fillId="2" borderId="7" xfId="0" applyNumberFormat="1" applyFont="1" applyFill="1" applyBorder="1" applyAlignment="1">
      <alignment horizontal="center" vertical="top" wrapText="1"/>
    </xf>
    <xf numFmtId="49" fontId="7"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wrapText="1"/>
    </xf>
    <xf numFmtId="49" fontId="6" fillId="0" borderId="0" xfId="0" applyNumberFormat="1" applyFont="1" applyFill="1" applyBorder="1" applyAlignment="1">
      <alignment horizontal="center" wrapText="1"/>
    </xf>
    <xf numFmtId="49" fontId="7" fillId="0" borderId="0" xfId="0" applyNumberFormat="1" applyFont="1" applyFill="1" applyAlignment="1">
      <alignment horizont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 fontId="7" fillId="0" borderId="1" xfId="0" applyNumberFormat="1" applyFont="1" applyFill="1" applyBorder="1" applyAlignment="1">
      <alignment horizontal="justify" vertical="center" wrapText="1"/>
    </xf>
    <xf numFmtId="49" fontId="5"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49" fontId="9" fillId="2" borderId="6"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0" borderId="0" xfId="0" applyNumberFormat="1" applyFont="1" applyFill="1" applyAlignment="1">
      <alignment horizontal="left" wrapText="1"/>
    </xf>
    <xf numFmtId="49" fontId="5" fillId="0" borderId="0" xfId="1" applyNumberFormat="1" applyFont="1" applyFill="1" applyBorder="1" applyAlignment="1">
      <alignment horizontal="center" wrapText="1"/>
    </xf>
    <xf numFmtId="0" fontId="23" fillId="0" borderId="0" xfId="0" applyFont="1" applyFill="1" applyBorder="1" applyAlignment="1">
      <alignment horizontal="center" vertical="center" wrapText="1"/>
    </xf>
    <xf numFmtId="0" fontId="13" fillId="2" borderId="1" xfId="0" applyFont="1" applyFill="1" applyBorder="1" applyAlignment="1">
      <alignment horizontal="center" vertical="top"/>
    </xf>
    <xf numFmtId="49" fontId="23" fillId="0" borderId="0" xfId="0" applyNumberFormat="1" applyFont="1" applyFill="1" applyBorder="1" applyAlignment="1">
      <alignment horizont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5" fillId="0" borderId="0" xfId="0" applyFont="1" applyFill="1" applyBorder="1" applyAlignment="1">
      <alignment horizontal="right" vertical="top"/>
    </xf>
    <xf numFmtId="0" fontId="8" fillId="0" borderId="0" xfId="0" applyFont="1" applyFill="1" applyBorder="1" applyAlignment="1">
      <alignment horizontal="center" vertical="center" wrapText="1"/>
    </xf>
    <xf numFmtId="0" fontId="23" fillId="2" borderId="0" xfId="0" applyFont="1" applyFill="1" applyBorder="1" applyAlignment="1">
      <alignment horizontal="center" vertical="top"/>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2" fontId="16" fillId="0" borderId="1" xfId="7" applyNumberFormat="1" applyFont="1" applyFill="1" applyBorder="1" applyAlignment="1">
      <alignment horizontal="center" vertical="center" wrapText="1"/>
    </xf>
    <xf numFmtId="0" fontId="16" fillId="0" borderId="5" xfId="8" applyFont="1" applyFill="1" applyBorder="1" applyAlignment="1">
      <alignment horizontal="center" vertical="center" wrapText="1"/>
    </xf>
    <xf numFmtId="0" fontId="16" fillId="0" borderId="7" xfId="8" applyFont="1" applyFill="1" applyBorder="1" applyAlignment="1">
      <alignment horizontal="center" vertical="center" wrapText="1"/>
    </xf>
    <xf numFmtId="0" fontId="16" fillId="0" borderId="5" xfId="8" applyFont="1" applyFill="1" applyBorder="1" applyAlignment="1">
      <alignment horizontal="center" vertical="center"/>
    </xf>
    <xf numFmtId="0" fontId="16" fillId="0" borderId="7" xfId="8" applyFont="1" applyFill="1" applyBorder="1" applyAlignment="1">
      <alignment horizontal="center" vertical="center"/>
    </xf>
    <xf numFmtId="0" fontId="16" fillId="0" borderId="5" xfId="8" applyNumberFormat="1" applyFont="1" applyFill="1" applyBorder="1" applyAlignment="1">
      <alignment horizontal="center" vertical="center" wrapText="1"/>
    </xf>
    <xf numFmtId="0" fontId="16" fillId="0" borderId="7" xfId="8" applyNumberFormat="1" applyFont="1" applyFill="1" applyBorder="1" applyAlignment="1">
      <alignment horizontal="center" vertical="center" wrapText="1"/>
    </xf>
    <xf numFmtId="0" fontId="13" fillId="0" borderId="0" xfId="8" applyFont="1" applyFill="1" applyBorder="1" applyAlignment="1">
      <alignment horizontal="left" vertical="top" wrapText="1"/>
    </xf>
    <xf numFmtId="0" fontId="13" fillId="0" borderId="0" xfId="8" applyFont="1" applyFill="1" applyBorder="1" applyAlignment="1">
      <alignment horizontal="left" vertical="center"/>
    </xf>
    <xf numFmtId="0" fontId="13" fillId="0" borderId="0" xfId="8" applyFont="1" applyFill="1" applyBorder="1" applyAlignment="1">
      <alignment horizontal="left" vertical="center" wrapText="1"/>
    </xf>
    <xf numFmtId="0" fontId="4" fillId="0" borderId="0" xfId="8" applyFont="1" applyFill="1" applyBorder="1" applyAlignment="1">
      <alignment horizontal="center"/>
    </xf>
    <xf numFmtId="0" fontId="8" fillId="0" borderId="0" xfId="8" applyFont="1" applyFill="1" applyBorder="1" applyAlignment="1">
      <alignment horizontal="center" vertical="center" wrapText="1"/>
    </xf>
    <xf numFmtId="0" fontId="16" fillId="0" borderId="6" xfId="0" applyFont="1" applyFill="1" applyBorder="1" applyAlignment="1">
      <alignment horizontal="center" vertical="top"/>
    </xf>
    <xf numFmtId="0" fontId="16" fillId="0" borderId="7" xfId="0" applyFont="1" applyFill="1" applyBorder="1" applyAlignment="1">
      <alignment horizontal="center" vertical="top"/>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6" fillId="0" borderId="5" xfId="0" applyFont="1" applyFill="1" applyBorder="1" applyAlignment="1">
      <alignment horizontal="center" vertical="top"/>
    </xf>
    <xf numFmtId="0" fontId="13" fillId="0" borderId="5"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5" xfId="0" applyFont="1" applyFill="1" applyBorder="1" applyAlignment="1">
      <alignment horizontal="center" vertical="top"/>
    </xf>
    <xf numFmtId="0" fontId="13" fillId="0" borderId="6" xfId="0" applyFont="1" applyFill="1" applyBorder="1" applyAlignment="1">
      <alignment horizontal="center" vertical="top"/>
    </xf>
    <xf numFmtId="0" fontId="13" fillId="0" borderId="7" xfId="0" applyFont="1" applyFill="1" applyBorder="1" applyAlignment="1">
      <alignment horizontal="center" vertical="top"/>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top" wrapText="1"/>
    </xf>
    <xf numFmtId="0" fontId="28" fillId="0" borderId="4" xfId="0" applyFont="1" applyFill="1" applyBorder="1" applyAlignment="1">
      <alignment horizontal="center" vertical="top"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5" fillId="0" borderId="0" xfId="0" applyFont="1" applyFill="1" applyBorder="1" applyAlignment="1">
      <alignment horizont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0" fillId="0" borderId="1" xfId="0" applyFill="1" applyBorder="1" applyAlignment="1">
      <alignment horizontal="left" vertical="top" wrapText="1"/>
    </xf>
    <xf numFmtId="0" fontId="10" fillId="2" borderId="5" xfId="0" applyFont="1" applyFill="1" applyBorder="1" applyAlignment="1">
      <alignment horizontal="center" vertical="top"/>
    </xf>
    <xf numFmtId="0" fontId="10" fillId="2" borderId="6" xfId="0" applyFont="1" applyFill="1" applyBorder="1" applyAlignment="1">
      <alignment horizontal="center" vertical="top"/>
    </xf>
    <xf numFmtId="0" fontId="10" fillId="2" borderId="7" xfId="0" applyFont="1" applyFill="1" applyBorder="1" applyAlignment="1">
      <alignment horizontal="center" vertical="top"/>
    </xf>
    <xf numFmtId="0" fontId="18" fillId="2" borderId="5" xfId="0" applyFont="1" applyFill="1" applyBorder="1" applyAlignment="1">
      <alignment horizontal="right" vertical="top" wrapText="1"/>
    </xf>
    <xf numFmtId="0" fontId="18" fillId="2" borderId="6" xfId="0" applyFont="1" applyFill="1" applyBorder="1" applyAlignment="1">
      <alignment horizontal="right" vertical="top" wrapText="1"/>
    </xf>
    <xf numFmtId="0" fontId="18" fillId="2" borderId="7" xfId="0" applyFont="1" applyFill="1" applyBorder="1" applyAlignment="1">
      <alignment horizontal="right" vertical="top" wrapText="1"/>
    </xf>
    <xf numFmtId="0" fontId="18" fillId="2" borderId="5" xfId="0" applyFont="1" applyFill="1" applyBorder="1" applyAlignment="1">
      <alignment horizontal="right" vertical="top"/>
    </xf>
    <xf numFmtId="0" fontId="0" fillId="2" borderId="6" xfId="0" applyFill="1" applyBorder="1" applyAlignment="1">
      <alignment horizontal="right" vertical="top"/>
    </xf>
    <xf numFmtId="0" fontId="0" fillId="2" borderId="7" xfId="0" applyFill="1" applyBorder="1" applyAlignment="1">
      <alignment horizontal="right" vertical="top"/>
    </xf>
    <xf numFmtId="0" fontId="0" fillId="2" borderId="5" xfId="0" applyFill="1" applyBorder="1" applyAlignment="1">
      <alignment horizontal="right" vertical="top"/>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18" fillId="2" borderId="5" xfId="0" applyFont="1" applyFill="1" applyBorder="1" applyAlignment="1">
      <alignment horizontal="center" vertical="top"/>
    </xf>
    <xf numFmtId="0" fontId="18" fillId="2" borderId="6" xfId="0" applyFont="1" applyFill="1" applyBorder="1" applyAlignment="1">
      <alignment horizontal="center" vertical="top"/>
    </xf>
    <xf numFmtId="0" fontId="18" fillId="2" borderId="7" xfId="0" applyFont="1" applyFill="1" applyBorder="1" applyAlignment="1">
      <alignment horizontal="center" vertical="top"/>
    </xf>
    <xf numFmtId="0" fontId="10" fillId="0" borderId="2" xfId="0" applyFont="1" applyFill="1" applyBorder="1" applyAlignment="1">
      <alignment horizontal="center" wrapText="1"/>
    </xf>
    <xf numFmtId="0" fontId="10" fillId="0" borderId="4" xfId="0" applyFont="1" applyFill="1" applyBorder="1" applyAlignment="1">
      <alignment horizontal="center" wrapText="1"/>
    </xf>
    <xf numFmtId="0" fontId="0" fillId="2" borderId="5" xfId="0" applyFill="1" applyBorder="1" applyAlignment="1">
      <alignment horizontal="center" vertical="top"/>
    </xf>
    <xf numFmtId="0" fontId="0" fillId="2" borderId="1" xfId="0" applyFill="1" applyBorder="1" applyAlignment="1">
      <alignment horizontal="right" vertical="top"/>
    </xf>
    <xf numFmtId="0" fontId="40" fillId="0" borderId="0" xfId="0" applyFont="1" applyFill="1" applyBorder="1"/>
    <xf numFmtId="0" fontId="42" fillId="0" borderId="0" xfId="0" applyFont="1" applyFill="1" applyBorder="1" applyAlignment="1">
      <alignment horizontal="center"/>
    </xf>
    <xf numFmtId="0" fontId="23"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6" fillId="0" borderId="0" xfId="0" applyFont="1" applyFill="1" applyBorder="1" applyAlignment="1">
      <alignment horizontal="center" vertical="top"/>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4" fillId="0" borderId="0" xfId="0" applyFont="1" applyFill="1" applyBorder="1" applyAlignment="1">
      <alignment horizont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5"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left"/>
    </xf>
    <xf numFmtId="0" fontId="16" fillId="0" borderId="1" xfId="0" applyFont="1" applyFill="1" applyBorder="1" applyAlignment="1">
      <alignment horizontal="center"/>
    </xf>
    <xf numFmtId="0" fontId="13" fillId="0" borderId="1" xfId="0" applyFont="1" applyFill="1" applyBorder="1" applyAlignment="1">
      <alignment horizontal="left" vertical="center" wrapText="1"/>
    </xf>
    <xf numFmtId="0" fontId="8" fillId="0" borderId="0" xfId="0" applyFont="1" applyFill="1" applyBorder="1" applyAlignment="1">
      <alignment horizontal="center"/>
    </xf>
    <xf numFmtId="0" fontId="23" fillId="0" borderId="0" xfId="0" applyFont="1" applyFill="1" applyBorder="1" applyAlignment="1">
      <alignment horizont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0" borderId="1" xfId="0" applyFont="1" applyFill="1" applyBorder="1" applyAlignment="1">
      <alignment horizontal="left" vertical="center"/>
    </xf>
    <xf numFmtId="0" fontId="8" fillId="0"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23" fillId="2" borderId="0" xfId="0" applyFont="1" applyFill="1" applyBorder="1" applyAlignment="1">
      <alignment horizontal="center" vertical="center"/>
    </xf>
    <xf numFmtId="0" fontId="8" fillId="0" borderId="0" xfId="0" applyFont="1" applyFill="1" applyBorder="1" applyAlignment="1">
      <alignment vertical="center" wrapText="1"/>
    </xf>
    <xf numFmtId="0" fontId="16" fillId="0" borderId="0" xfId="0" applyFont="1" applyFill="1" applyBorder="1" applyAlignment="1">
      <alignment horizontal="center" vertical="center" wrapText="1"/>
    </xf>
    <xf numFmtId="2" fontId="16" fillId="0" borderId="9" xfId="0" applyNumberFormat="1" applyFont="1" applyFill="1" applyBorder="1" applyAlignment="1">
      <alignment wrapText="1"/>
    </xf>
    <xf numFmtId="0" fontId="34"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2" fontId="13" fillId="0" borderId="0" xfId="7" applyNumberFormat="1" applyFont="1" applyFill="1" applyBorder="1" applyAlignment="1" applyProtection="1">
      <alignment vertical="center"/>
    </xf>
    <xf numFmtId="0" fontId="3" fillId="0" borderId="0" xfId="0" applyFont="1" applyFill="1" applyBorder="1" applyAlignment="1">
      <alignment horizontal="center" vertical="top" wrapText="1"/>
    </xf>
    <xf numFmtId="0" fontId="13" fillId="2" borderId="5" xfId="0" applyNumberFormat="1" applyFont="1" applyFill="1" applyBorder="1" applyAlignment="1">
      <alignment horizontal="center" vertical="center" wrapText="1"/>
    </xf>
    <xf numFmtId="0" fontId="13" fillId="0" borderId="0" xfId="0" applyFont="1" applyFill="1" applyBorder="1" applyAlignment="1">
      <alignment vertical="center"/>
    </xf>
    <xf numFmtId="0" fontId="13"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2" borderId="5" xfId="0" applyNumberFormat="1" applyFont="1" applyFill="1" applyBorder="1" applyAlignment="1">
      <alignment horizontal="center" vertical="top" wrapText="1"/>
    </xf>
    <xf numFmtId="2" fontId="13" fillId="5" borderId="1" xfId="0" applyNumberFormat="1" applyFont="1" applyFill="1" applyBorder="1" applyAlignment="1">
      <alignment horizontal="center" vertical="center" wrapText="1"/>
    </xf>
    <xf numFmtId="0" fontId="13" fillId="2" borderId="7" xfId="0" applyNumberFormat="1" applyFont="1" applyFill="1" applyBorder="1" applyAlignment="1">
      <alignment horizontal="center" vertical="center"/>
    </xf>
    <xf numFmtId="0" fontId="13" fillId="2" borderId="1" xfId="0" applyFont="1" applyFill="1" applyBorder="1" applyAlignment="1">
      <alignment vertical="top" wrapText="1"/>
    </xf>
    <xf numFmtId="2" fontId="55" fillId="2" borderId="1" xfId="7" applyNumberFormat="1" applyFont="1" applyFill="1" applyBorder="1" applyAlignment="1">
      <alignment horizontal="center" vertical="top"/>
    </xf>
    <xf numFmtId="0" fontId="3" fillId="0" borderId="0" xfId="0" applyFont="1" applyFill="1" applyBorder="1" applyAlignment="1">
      <alignment horizontal="left" vertical="top" wrapText="1"/>
    </xf>
    <xf numFmtId="0" fontId="0" fillId="0" borderId="0" xfId="0" applyFill="1" applyBorder="1" applyAlignment="1">
      <alignment horizontal="center" vertical="center" wrapText="1"/>
    </xf>
    <xf numFmtId="0" fontId="13" fillId="2" borderId="5" xfId="0" applyNumberFormat="1" applyFont="1" applyFill="1" applyBorder="1" applyAlignment="1">
      <alignment vertical="top" wrapText="1"/>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left" vertical="top" wrapText="1"/>
    </xf>
    <xf numFmtId="0" fontId="16" fillId="2" borderId="1" xfId="0" applyFont="1" applyFill="1" applyBorder="1" applyAlignment="1">
      <alignmen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0" fontId="13" fillId="0" borderId="0" xfId="0" applyFont="1" applyFill="1" applyBorder="1"/>
    <xf numFmtId="0" fontId="16" fillId="2" borderId="3" xfId="0" applyFont="1" applyFill="1" applyBorder="1" applyAlignment="1">
      <alignment vertical="top" wrapText="1"/>
    </xf>
    <xf numFmtId="0" fontId="16" fillId="2" borderId="3" xfId="0" applyFont="1" applyFill="1" applyBorder="1" applyAlignment="1">
      <alignment horizontal="center" vertical="top" wrapText="1"/>
    </xf>
    <xf numFmtId="0" fontId="13" fillId="2" borderId="1" xfId="0" applyFont="1" applyFill="1" applyBorder="1" applyAlignment="1"/>
    <xf numFmtId="0" fontId="13" fillId="2" borderId="3" xfId="0" applyFont="1" applyFill="1" applyBorder="1" applyAlignment="1"/>
    <xf numFmtId="0" fontId="13" fillId="2" borderId="3" xfId="0" applyFont="1" applyFill="1" applyBorder="1" applyAlignment="1">
      <alignment horizontal="center"/>
    </xf>
    <xf numFmtId="10" fontId="13" fillId="2" borderId="1" xfId="0" applyNumberFormat="1" applyFont="1" applyFill="1" applyBorder="1" applyAlignment="1">
      <alignment horizontal="right" vertical="center" wrapText="1"/>
    </xf>
    <xf numFmtId="0" fontId="13" fillId="2" borderId="1" xfId="0" applyFont="1" applyFill="1" applyBorder="1" applyAlignment="1">
      <alignment horizontal="left" wrapText="1"/>
    </xf>
    <xf numFmtId="0" fontId="13" fillId="2" borderId="1" xfId="0" applyFont="1" applyFill="1" applyBorder="1" applyAlignment="1">
      <alignment horizontal="center" wrapText="1"/>
    </xf>
    <xf numFmtId="0" fontId="3" fillId="0" borderId="0" xfId="0" applyFont="1" applyFill="1" applyBorder="1" applyAlignment="1"/>
    <xf numFmtId="0" fontId="0" fillId="0" borderId="0" xfId="0" applyFill="1" applyBorder="1" applyAlignment="1">
      <alignment horizontal="center" vertical="center"/>
    </xf>
    <xf numFmtId="0" fontId="34" fillId="0" borderId="8" xfId="0" applyFont="1" applyFill="1" applyBorder="1" applyAlignment="1">
      <alignment vertical="center" wrapText="1"/>
    </xf>
    <xf numFmtId="9" fontId="3" fillId="2" borderId="1" xfId="0" applyNumberFormat="1" applyFont="1" applyFill="1" applyBorder="1" applyAlignment="1">
      <alignment horizontal="center" vertical="center" wrapText="1"/>
    </xf>
    <xf numFmtId="0" fontId="34" fillId="0" borderId="0" xfId="0" applyFont="1" applyFill="1" applyBorder="1" applyAlignment="1">
      <alignment vertical="center" wrapText="1"/>
    </xf>
    <xf numFmtId="9" fontId="13" fillId="2" borderId="1" xfId="0" applyNumberFormat="1" applyFont="1" applyFill="1" applyBorder="1" applyAlignment="1">
      <alignment horizontal="center" vertical="center" wrapText="1"/>
    </xf>
    <xf numFmtId="0" fontId="56" fillId="0" borderId="0" xfId="0" applyFont="1" applyFill="1"/>
    <xf numFmtId="0" fontId="13" fillId="0" borderId="0" xfId="0" applyFont="1" applyFill="1" applyBorder="1" applyAlignment="1">
      <alignment horizontal="left" vertical="center" wrapText="1"/>
    </xf>
    <xf numFmtId="0" fontId="14" fillId="0" borderId="0" xfId="0" applyFont="1" applyFill="1" applyAlignment="1">
      <alignment vertical="top"/>
    </xf>
    <xf numFmtId="49" fontId="8" fillId="0" borderId="0" xfId="0" applyNumberFormat="1" applyFont="1" applyFill="1" applyAlignment="1">
      <alignment vertical="center" wrapText="1"/>
    </xf>
    <xf numFmtId="0" fontId="16" fillId="0" borderId="0" xfId="0" applyFont="1" applyFill="1" applyBorder="1" applyAlignment="1"/>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xf>
  </cellXfs>
  <cellStyles count="9">
    <cellStyle name="Comma 2" xfId="3"/>
    <cellStyle name="Normal" xfId="0" builtinId="0"/>
    <cellStyle name="Normal 2 2 2 3" xfId="1"/>
    <cellStyle name="Normal 2 2 2 3 2" xfId="7"/>
    <cellStyle name="Normal 3 2" xfId="2"/>
    <cellStyle name="Normal 4" xfId="5"/>
    <cellStyle name="Normal 5" xfId="8"/>
    <cellStyle name="Normal 5 2" xfId="6"/>
    <cellStyle name="Normal 7" xfId="4"/>
  </cellStyles>
  <dxfs count="1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67094</xdr:colOff>
      <xdr:row>20</xdr:row>
      <xdr:rowOff>23969</xdr:rowOff>
    </xdr:from>
    <xdr:to>
      <xdr:col>5</xdr:col>
      <xdr:colOff>255919</xdr:colOff>
      <xdr:row>20</xdr:row>
      <xdr:rowOff>195628</xdr:rowOff>
    </xdr:to>
    <xdr:sp macro="" textlink="">
      <xdr:nvSpPr>
        <xdr:cNvPr id="2" name="Text Box 3"/>
        <xdr:cNvSpPr txBox="1">
          <a:spLocks noChangeArrowheads="1"/>
        </xdr:cNvSpPr>
      </xdr:nvSpPr>
      <xdr:spPr bwMode="auto">
        <a:xfrm>
          <a:off x="6182144" y="6539069"/>
          <a:ext cx="188825" cy="171659"/>
        </a:xfrm>
        <a:prstGeom prst="rect">
          <a:avLst/>
        </a:prstGeom>
        <a:noFill/>
        <a:ln w="9525">
          <a:noFill/>
          <a:miter lim="800000"/>
          <a:headEnd/>
          <a:tailEnd/>
        </a:ln>
      </xdr:spPr>
      <xdr:txBody>
        <a:bodyPr vertOverflow="clip" vert="wordArtVert" wrap="square" lIns="36576" tIns="0" rIns="0" bIns="0" anchor="t" upright="1"/>
        <a:lstStyle/>
        <a:p>
          <a:pPr algn="l" rtl="1">
            <a:defRPr sz="1000"/>
          </a:pPr>
          <a:r>
            <a:rPr lang="en-US" sz="1400" b="0" i="0" strike="noStrike">
              <a:solidFill>
                <a:srgbClr val="000000"/>
              </a:solidFill>
              <a:latin typeface="Arial"/>
              <a:cs typeface="Arial"/>
            </a:rPr>
            <a:t>*</a:t>
          </a:r>
        </a:p>
      </xdr:txBody>
    </xdr:sp>
    <xdr:clientData/>
  </xdr:twoCellAnchor>
  <xdr:twoCellAnchor>
    <xdr:from>
      <xdr:col>6</xdr:col>
      <xdr:colOff>447151</xdr:colOff>
      <xdr:row>26</xdr:row>
      <xdr:rowOff>41135</xdr:rowOff>
    </xdr:from>
    <xdr:to>
      <xdr:col>6</xdr:col>
      <xdr:colOff>742426</xdr:colOff>
      <xdr:row>26</xdr:row>
      <xdr:rowOff>203060</xdr:rowOff>
    </xdr:to>
    <xdr:sp macro="" textlink="">
      <xdr:nvSpPr>
        <xdr:cNvPr id="3" name="Text Box 190"/>
        <xdr:cNvSpPr txBox="1">
          <a:spLocks noChangeArrowheads="1"/>
        </xdr:cNvSpPr>
      </xdr:nvSpPr>
      <xdr:spPr bwMode="auto">
        <a:xfrm>
          <a:off x="6895576" y="8851760"/>
          <a:ext cx="295275" cy="161925"/>
        </a:xfrm>
        <a:prstGeom prst="rect">
          <a:avLst/>
        </a:prstGeom>
        <a:solidFill>
          <a:srgbClr val="FFFFFF"/>
        </a:solidFill>
        <a:ln w="9525">
          <a:solidFill>
            <a:srgbClr val="FFFFFF"/>
          </a:solidFill>
          <a:miter lim="800000"/>
          <a:headEnd/>
          <a:tailEnd/>
        </a:ln>
      </xdr:spPr>
      <xdr:txBody>
        <a:bodyPr vertOverflow="clip" wrap="square" lIns="36576" tIns="27432" rIns="0" bIns="0" anchor="t" upright="1"/>
        <a:lstStyle/>
        <a:p>
          <a:pPr algn="l" rtl="1">
            <a:defRPr sz="1000"/>
          </a:pPr>
          <a:r>
            <a:rPr lang="en-IN" sz="1400" b="0" i="0" strike="noStrike">
              <a:solidFill>
                <a:srgbClr val="000000"/>
              </a:solidFill>
              <a:latin typeface="Arial"/>
              <a:cs typeface="Arial"/>
            </a:rPr>
            <a:t>***</a:t>
          </a:r>
        </a:p>
      </xdr:txBody>
    </xdr:sp>
    <xdr:clientData/>
  </xdr:twoCellAnchor>
  <xdr:twoCellAnchor>
    <xdr:from>
      <xdr:col>7</xdr:col>
      <xdr:colOff>149572</xdr:colOff>
      <xdr:row>34</xdr:row>
      <xdr:rowOff>13293</xdr:rowOff>
    </xdr:from>
    <xdr:to>
      <xdr:col>7</xdr:col>
      <xdr:colOff>1164875</xdr:colOff>
      <xdr:row>34</xdr:row>
      <xdr:rowOff>373882</xdr:rowOff>
    </xdr:to>
    <xdr:sp macro="" textlink="">
      <xdr:nvSpPr>
        <xdr:cNvPr id="4" name="TextBox 3"/>
        <xdr:cNvSpPr txBox="1"/>
      </xdr:nvSpPr>
      <xdr:spPr>
        <a:xfrm>
          <a:off x="7817197" y="11538543"/>
          <a:ext cx="1015303" cy="360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50">
              <a:solidFill>
                <a:schemeClr val="dk1"/>
              </a:solidFill>
              <a:latin typeface="Arial" pitchFamily="34" charset="0"/>
              <a:ea typeface="+mn-ea"/>
              <a:cs typeface="Arial" pitchFamily="34" charset="0"/>
            </a:rPr>
            <a:t>Fill appropriate cost</a:t>
          </a:r>
          <a:endParaRPr lang="en-US" sz="950">
            <a:latin typeface="Arial" pitchFamily="34" charset="0"/>
            <a:cs typeface="Arial"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19</xdr:row>
      <xdr:rowOff>0</xdr:rowOff>
    </xdr:from>
    <xdr:to>
      <xdr:col>8</xdr:col>
      <xdr:colOff>76200</xdr:colOff>
      <xdr:row>19</xdr:row>
      <xdr:rowOff>200025</xdr:rowOff>
    </xdr:to>
    <xdr:sp macro="" textlink="">
      <xdr:nvSpPr>
        <xdr:cNvPr id="2" name="Text Box 1"/>
        <xdr:cNvSpPr txBox="1">
          <a:spLocks noChangeArrowheads="1"/>
        </xdr:cNvSpPr>
      </xdr:nvSpPr>
      <xdr:spPr bwMode="auto">
        <a:xfrm>
          <a:off x="7200900" y="11515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8</xdr:col>
      <xdr:colOff>76200</xdr:colOff>
      <xdr:row>20</xdr:row>
      <xdr:rowOff>200025</xdr:rowOff>
    </xdr:to>
    <xdr:sp macro="" textlink="">
      <xdr:nvSpPr>
        <xdr:cNvPr id="3" name="Text Box 1"/>
        <xdr:cNvSpPr txBox="1">
          <a:spLocks noChangeArrowheads="1"/>
        </xdr:cNvSpPr>
      </xdr:nvSpPr>
      <xdr:spPr bwMode="auto">
        <a:xfrm>
          <a:off x="7200900" y="1283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457200</xdr:colOff>
      <xdr:row>104</xdr:row>
      <xdr:rowOff>38100</xdr:rowOff>
    </xdr:from>
    <xdr:to>
      <xdr:col>7</xdr:col>
      <xdr:colOff>704850</xdr:colOff>
      <xdr:row>104</xdr:row>
      <xdr:rowOff>161925</xdr:rowOff>
    </xdr:to>
    <xdr:sp macro="" textlink="">
      <xdr:nvSpPr>
        <xdr:cNvPr id="2" name="Text Box 2"/>
        <xdr:cNvSpPr txBox="1">
          <a:spLocks noChangeArrowheads="1"/>
        </xdr:cNvSpPr>
      </xdr:nvSpPr>
      <xdr:spPr bwMode="auto">
        <a:xfrm>
          <a:off x="6667500" y="24374475"/>
          <a:ext cx="247650" cy="123825"/>
        </a:xfrm>
        <a:prstGeom prst="rect">
          <a:avLst/>
        </a:prstGeom>
        <a:solidFill>
          <a:srgbClr val="FFFFFF"/>
        </a:solidFill>
        <a:ln w="9525">
          <a:solidFill>
            <a:srgbClr val="FFFFFF"/>
          </a:solidFill>
          <a:miter lim="800000"/>
          <a:headEnd/>
          <a:tailEnd/>
        </a:ln>
      </xdr:spPr>
      <xdr:txBody>
        <a:bodyPr vertOverflow="clip" vert="wordArtVert" wrap="square" lIns="36576" tIns="0" rIns="0" bIns="0" anchor="t" upright="1"/>
        <a:lstStyle/>
        <a:p>
          <a:pPr algn="l" rtl="1">
            <a:defRPr sz="1000"/>
          </a:pPr>
          <a:r>
            <a:rPr lang="en-IN" sz="14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64</xdr:row>
      <xdr:rowOff>0</xdr:rowOff>
    </xdr:from>
    <xdr:to>
      <xdr:col>3</xdr:col>
      <xdr:colOff>0</xdr:colOff>
      <xdr:row>64</xdr:row>
      <xdr:rowOff>0</xdr:rowOff>
    </xdr:to>
    <xdr:sp macro="" textlink="">
      <xdr:nvSpPr>
        <xdr:cNvPr id="2" name="AutoShape 2"/>
        <xdr:cNvSpPr>
          <a:spLocks/>
        </xdr:cNvSpPr>
      </xdr:nvSpPr>
      <xdr:spPr bwMode="auto">
        <a:xfrm>
          <a:off x="4286250" y="14287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AutoShape 2"/>
        <xdr:cNvSpPr>
          <a:spLocks/>
        </xdr:cNvSpPr>
      </xdr:nvSpPr>
      <xdr:spPr bwMode="auto">
        <a:xfrm>
          <a:off x="3962400"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117"/>
  <sheetViews>
    <sheetView tabSelected="1" zoomScaleNormal="100" workbookViewId="0">
      <pane xSplit="2" ySplit="7" topLeftCell="C34" activePane="bottomRight" state="frozen"/>
      <selection activeCell="B30" sqref="B30"/>
      <selection pane="topRight" activeCell="B30" sqref="B30"/>
      <selection pane="bottomLeft" activeCell="B30" sqref="B30"/>
      <selection pane="bottomRight" activeCell="E55" sqref="E55"/>
    </sheetView>
  </sheetViews>
  <sheetFormatPr defaultRowHeight="12.75"/>
  <cols>
    <col min="1" max="1" width="4.7109375" style="94" customWidth="1"/>
    <col min="2" max="2" width="59.140625" style="94" customWidth="1"/>
    <col min="3" max="3" width="12.5703125" style="94" customWidth="1"/>
    <col min="4" max="4" width="5.7109375" style="94" bestFit="1" customWidth="1"/>
    <col min="5" max="5" width="9.5703125" style="94" bestFit="1" customWidth="1"/>
    <col min="6" max="6" width="5" style="94" bestFit="1" customWidth="1"/>
    <col min="7" max="7" width="18.28515625" style="94" customWidth="1"/>
    <col min="8" max="8" width="21.7109375" style="94" customWidth="1"/>
    <col min="9" max="9" width="19.7109375" style="94" customWidth="1"/>
    <col min="10" max="10" width="13.7109375" style="94" bestFit="1" customWidth="1"/>
    <col min="11" max="11" width="13.7109375" style="94" customWidth="1"/>
    <col min="12" max="12" width="11.28515625" style="94" customWidth="1"/>
    <col min="13" max="16" width="9.140625" style="94"/>
    <col min="17" max="17" width="11" style="94" bestFit="1" customWidth="1"/>
    <col min="18" max="16384" width="9.140625" style="94"/>
  </cols>
  <sheetData>
    <row r="1" spans="1:11" ht="20.25" customHeight="1">
      <c r="A1" s="161"/>
      <c r="B1" s="975" t="s">
        <v>611</v>
      </c>
      <c r="C1" s="975"/>
      <c r="D1" s="975"/>
      <c r="E1" s="975"/>
      <c r="F1" s="449"/>
      <c r="G1" s="448"/>
      <c r="H1" s="448"/>
      <c r="I1" s="448"/>
      <c r="J1" s="448"/>
    </row>
    <row r="2" spans="1:11" ht="18">
      <c r="A2" s="832"/>
      <c r="B2" s="832"/>
      <c r="C2" s="832"/>
      <c r="D2" s="832"/>
      <c r="E2" s="832"/>
      <c r="F2" s="832"/>
      <c r="G2" s="832"/>
      <c r="H2" s="976" t="s">
        <v>493</v>
      </c>
    </row>
    <row r="3" spans="1:11" ht="52.5" customHeight="1">
      <c r="A3" s="175"/>
      <c r="B3" s="870" t="s">
        <v>612</v>
      </c>
      <c r="C3" s="870"/>
      <c r="D3" s="870"/>
      <c r="E3" s="870"/>
      <c r="F3" s="870"/>
      <c r="G3" s="870"/>
      <c r="H3" s="977"/>
      <c r="I3" s="978"/>
      <c r="J3" s="978"/>
    </row>
    <row r="4" spans="1:11" ht="7.5" customHeight="1">
      <c r="A4" s="165"/>
      <c r="B4" s="165"/>
      <c r="C4" s="165"/>
      <c r="D4" s="165"/>
      <c r="E4" s="165"/>
      <c r="F4" s="165"/>
      <c r="G4" s="979"/>
      <c r="H4" s="216"/>
      <c r="I4" s="980"/>
      <c r="J4" s="980"/>
    </row>
    <row r="5" spans="1:11" ht="76.5" customHeight="1">
      <c r="A5" s="872" t="s">
        <v>105</v>
      </c>
      <c r="B5" s="955" t="s">
        <v>3</v>
      </c>
      <c r="C5" s="953" t="s">
        <v>4</v>
      </c>
      <c r="D5" s="955" t="s">
        <v>5</v>
      </c>
      <c r="E5" s="955" t="s">
        <v>10</v>
      </c>
      <c r="F5" s="955" t="s">
        <v>110</v>
      </c>
      <c r="G5" s="981" t="s">
        <v>613</v>
      </c>
      <c r="H5" s="98" t="s">
        <v>614</v>
      </c>
    </row>
    <row r="6" spans="1:11" ht="16.5" customHeight="1">
      <c r="A6" s="873"/>
      <c r="B6" s="956"/>
      <c r="C6" s="982"/>
      <c r="D6" s="956"/>
      <c r="E6" s="956"/>
      <c r="F6" s="956"/>
      <c r="G6" s="97" t="s">
        <v>429</v>
      </c>
      <c r="H6" s="97" t="s">
        <v>429</v>
      </c>
    </row>
    <row r="7" spans="1:11" ht="15">
      <c r="A7" s="833">
        <v>1</v>
      </c>
      <c r="B7" s="833">
        <v>2</v>
      </c>
      <c r="C7" s="833">
        <v>3</v>
      </c>
      <c r="D7" s="833">
        <v>4</v>
      </c>
      <c r="E7" s="833">
        <v>5</v>
      </c>
      <c r="F7" s="833">
        <v>6</v>
      </c>
      <c r="G7" s="833">
        <v>7</v>
      </c>
      <c r="H7" s="833">
        <v>8</v>
      </c>
    </row>
    <row r="8" spans="1:11" ht="17.25" customHeight="1">
      <c r="A8" s="103">
        <v>1</v>
      </c>
      <c r="B8" s="133" t="s">
        <v>615</v>
      </c>
      <c r="C8" s="983">
        <v>7132461004</v>
      </c>
      <c r="D8" s="103" t="s">
        <v>29</v>
      </c>
      <c r="E8" s="790">
        <v>1444.85</v>
      </c>
      <c r="F8" s="103">
        <v>120</v>
      </c>
      <c r="G8" s="105">
        <f>E8*F8</f>
        <v>173382</v>
      </c>
      <c r="H8" s="105">
        <f>E8*F8</f>
        <v>173382</v>
      </c>
      <c r="I8" s="984"/>
      <c r="J8" s="984"/>
    </row>
    <row r="9" spans="1:11" ht="17.25" customHeight="1">
      <c r="A9" s="103">
        <v>2</v>
      </c>
      <c r="B9" s="133" t="s">
        <v>616</v>
      </c>
      <c r="C9" s="983">
        <v>7132461005</v>
      </c>
      <c r="D9" s="103" t="s">
        <v>14</v>
      </c>
      <c r="E9" s="790">
        <v>511.57</v>
      </c>
      <c r="F9" s="103">
        <v>18</v>
      </c>
      <c r="G9" s="105">
        <f>E9*F9</f>
        <v>9208.26</v>
      </c>
      <c r="H9" s="105">
        <f>E9*F9</f>
        <v>9208.26</v>
      </c>
      <c r="I9" s="149"/>
      <c r="J9" s="985"/>
    </row>
    <row r="10" spans="1:11" ht="17.25" customHeight="1">
      <c r="A10" s="103">
        <v>3</v>
      </c>
      <c r="B10" s="129" t="s">
        <v>575</v>
      </c>
      <c r="C10" s="983">
        <v>7130310020</v>
      </c>
      <c r="D10" s="103" t="s">
        <v>29</v>
      </c>
      <c r="E10" s="105">
        <v>2951.14</v>
      </c>
      <c r="F10" s="103">
        <v>190</v>
      </c>
      <c r="G10" s="105">
        <f>E10*F10</f>
        <v>560716.6</v>
      </c>
      <c r="H10" s="105">
        <f>E10*F10</f>
        <v>560716.6</v>
      </c>
      <c r="I10" s="149"/>
      <c r="J10" s="150"/>
    </row>
    <row r="11" spans="1:11" ht="17.25" customHeight="1">
      <c r="A11" s="103">
        <v>4</v>
      </c>
      <c r="B11" s="133" t="s">
        <v>579</v>
      </c>
      <c r="C11" s="986">
        <v>7130352010</v>
      </c>
      <c r="D11" s="103" t="s">
        <v>54</v>
      </c>
      <c r="E11" s="744">
        <v>41869.07</v>
      </c>
      <c r="F11" s="103">
        <v>4</v>
      </c>
      <c r="G11" s="105">
        <f t="shared" ref="G11:G21" si="0">E11*F11</f>
        <v>167476.28</v>
      </c>
      <c r="H11" s="105">
        <f t="shared" ref="H11:H21" si="1">E11*F11</f>
        <v>167476.28</v>
      </c>
      <c r="I11" s="987"/>
      <c r="J11" s="150"/>
    </row>
    <row r="12" spans="1:11" ht="17.25" customHeight="1">
      <c r="A12" s="103">
        <v>5</v>
      </c>
      <c r="B12" s="133" t="s">
        <v>617</v>
      </c>
      <c r="C12" s="986">
        <v>7130640027</v>
      </c>
      <c r="D12" s="103" t="s">
        <v>139</v>
      </c>
      <c r="E12" s="790">
        <v>1345.87</v>
      </c>
      <c r="F12" s="103">
        <v>24</v>
      </c>
      <c r="G12" s="105">
        <f t="shared" si="0"/>
        <v>32300.879999999997</v>
      </c>
      <c r="H12" s="105">
        <f t="shared" si="1"/>
        <v>32300.879999999997</v>
      </c>
      <c r="I12" s="987"/>
      <c r="J12" s="745"/>
    </row>
    <row r="13" spans="1:11" ht="59.25" customHeight="1">
      <c r="A13" s="988">
        <v>6</v>
      </c>
      <c r="B13" s="989" t="s">
        <v>618</v>
      </c>
      <c r="C13" s="103"/>
      <c r="D13" s="103" t="s">
        <v>136</v>
      </c>
      <c r="E13" s="105">
        <v>1500</v>
      </c>
      <c r="F13" s="103">
        <v>4</v>
      </c>
      <c r="G13" s="105">
        <f t="shared" si="0"/>
        <v>6000</v>
      </c>
      <c r="H13" s="105">
        <f t="shared" si="1"/>
        <v>6000</v>
      </c>
      <c r="I13" s="990"/>
      <c r="J13" s="190"/>
      <c r="K13" s="183"/>
    </row>
    <row r="14" spans="1:11" ht="17.25" customHeight="1">
      <c r="A14" s="988">
        <v>7</v>
      </c>
      <c r="B14" s="989" t="s">
        <v>619</v>
      </c>
      <c r="C14" s="103">
        <v>7130600173</v>
      </c>
      <c r="D14" s="103" t="s">
        <v>620</v>
      </c>
      <c r="E14" s="105">
        <v>63.06</v>
      </c>
      <c r="F14" s="103">
        <v>100</v>
      </c>
      <c r="G14" s="105">
        <f t="shared" si="0"/>
        <v>6306</v>
      </c>
      <c r="H14" s="105">
        <f t="shared" si="1"/>
        <v>6306</v>
      </c>
      <c r="I14" s="608"/>
      <c r="J14" s="190"/>
      <c r="K14" s="190"/>
    </row>
    <row r="15" spans="1:11" ht="44.25" customHeight="1">
      <c r="A15" s="988">
        <v>8</v>
      </c>
      <c r="B15" s="989" t="s">
        <v>582</v>
      </c>
      <c r="C15" s="991"/>
      <c r="D15" s="103" t="s">
        <v>14</v>
      </c>
      <c r="E15" s="992">
        <v>556</v>
      </c>
      <c r="F15" s="103">
        <v>4</v>
      </c>
      <c r="G15" s="105">
        <f t="shared" si="0"/>
        <v>2224</v>
      </c>
      <c r="H15" s="105">
        <f t="shared" si="1"/>
        <v>2224</v>
      </c>
      <c r="I15" s="990"/>
      <c r="J15" s="190"/>
      <c r="K15" s="190"/>
    </row>
    <row r="16" spans="1:11" ht="17.25" customHeight="1">
      <c r="A16" s="103">
        <v>9</v>
      </c>
      <c r="B16" s="102" t="s">
        <v>583</v>
      </c>
      <c r="C16" s="103">
        <v>7130201343</v>
      </c>
      <c r="D16" s="103" t="s">
        <v>14</v>
      </c>
      <c r="E16" s="105">
        <v>33</v>
      </c>
      <c r="F16" s="103">
        <f>4*20</f>
        <v>80</v>
      </c>
      <c r="G16" s="105">
        <f>E16*F16</f>
        <v>2640</v>
      </c>
      <c r="H16" s="105">
        <f>E16*F16</f>
        <v>2640</v>
      </c>
      <c r="I16" s="608"/>
      <c r="J16" s="190"/>
      <c r="K16" s="190"/>
    </row>
    <row r="17" spans="1:12" ht="17.25" customHeight="1">
      <c r="A17" s="103">
        <v>10</v>
      </c>
      <c r="B17" s="102" t="s">
        <v>621</v>
      </c>
      <c r="C17" s="103">
        <v>7132498006</v>
      </c>
      <c r="D17" s="103" t="s">
        <v>70</v>
      </c>
      <c r="E17" s="105">
        <v>735</v>
      </c>
      <c r="F17" s="103">
        <f>0.06*20</f>
        <v>1.2</v>
      </c>
      <c r="G17" s="105">
        <f t="shared" si="0"/>
        <v>882</v>
      </c>
      <c r="H17" s="105">
        <f t="shared" si="1"/>
        <v>882</v>
      </c>
      <c r="I17" s="608"/>
      <c r="J17" s="190"/>
      <c r="K17" s="190"/>
    </row>
    <row r="18" spans="1:12" ht="17.25" customHeight="1">
      <c r="A18" s="103">
        <v>11</v>
      </c>
      <c r="B18" s="102" t="s">
        <v>168</v>
      </c>
      <c r="C18" s="993">
        <v>7130840021</v>
      </c>
      <c r="D18" s="104" t="s">
        <v>125</v>
      </c>
      <c r="E18" s="747">
        <v>3233.2</v>
      </c>
      <c r="F18" s="103">
        <v>6</v>
      </c>
      <c r="G18" s="105">
        <f t="shared" si="0"/>
        <v>19399.199999999997</v>
      </c>
      <c r="H18" s="105">
        <f t="shared" si="1"/>
        <v>19399.199999999997</v>
      </c>
      <c r="I18" s="608"/>
      <c r="J18" s="190"/>
      <c r="K18" s="190"/>
    </row>
    <row r="19" spans="1:12" ht="17.25" customHeight="1">
      <c r="A19" s="103">
        <v>12</v>
      </c>
      <c r="B19" s="102" t="s">
        <v>585</v>
      </c>
      <c r="C19" s="993">
        <v>7130830060</v>
      </c>
      <c r="D19" s="104" t="s">
        <v>29</v>
      </c>
      <c r="E19" s="105">
        <v>76.319999999999993</v>
      </c>
      <c r="F19" s="103">
        <v>18</v>
      </c>
      <c r="G19" s="105">
        <f t="shared" si="0"/>
        <v>1373.7599999999998</v>
      </c>
      <c r="H19" s="105">
        <f t="shared" si="1"/>
        <v>1373.7599999999998</v>
      </c>
      <c r="I19" s="608"/>
      <c r="J19" s="190"/>
      <c r="K19" s="190"/>
    </row>
    <row r="20" spans="1:12" ht="30.75" customHeight="1">
      <c r="A20" s="103">
        <v>13</v>
      </c>
      <c r="B20" s="994" t="s">
        <v>622</v>
      </c>
      <c r="C20" s="993">
        <v>7130830585</v>
      </c>
      <c r="D20" s="104" t="s">
        <v>136</v>
      </c>
      <c r="E20" s="995">
        <v>350.63</v>
      </c>
      <c r="F20" s="103">
        <v>6</v>
      </c>
      <c r="G20" s="105">
        <f t="shared" si="0"/>
        <v>2103.7799999999997</v>
      </c>
      <c r="H20" s="105">
        <f t="shared" si="1"/>
        <v>2103.7799999999997</v>
      </c>
      <c r="I20" s="608"/>
      <c r="J20" s="190"/>
      <c r="K20" s="190"/>
    </row>
    <row r="21" spans="1:12" ht="47.25" customHeight="1">
      <c r="A21" s="988">
        <v>14</v>
      </c>
      <c r="B21" s="989" t="s">
        <v>623</v>
      </c>
      <c r="C21" s="103">
        <v>7130642039</v>
      </c>
      <c r="D21" s="103" t="s">
        <v>14</v>
      </c>
      <c r="E21" s="747">
        <v>1058.93</v>
      </c>
      <c r="F21" s="103">
        <f>4+6</f>
        <v>10</v>
      </c>
      <c r="G21" s="105">
        <f t="shared" si="0"/>
        <v>10589.300000000001</v>
      </c>
      <c r="H21" s="105">
        <f t="shared" si="1"/>
        <v>10589.300000000001</v>
      </c>
      <c r="I21" s="996"/>
      <c r="J21" s="997"/>
      <c r="K21" s="190"/>
    </row>
    <row r="22" spans="1:12" ht="60.75" customHeight="1">
      <c r="A22" s="988">
        <v>15</v>
      </c>
      <c r="B22" s="989" t="s">
        <v>624</v>
      </c>
      <c r="C22" s="998"/>
      <c r="D22" s="988" t="s">
        <v>247</v>
      </c>
      <c r="E22" s="111" t="s">
        <v>247</v>
      </c>
      <c r="F22" s="988" t="s">
        <v>247</v>
      </c>
      <c r="G22" s="111">
        <v>25000</v>
      </c>
      <c r="H22" s="111"/>
      <c r="I22" s="161"/>
      <c r="J22" s="190"/>
      <c r="K22" s="190"/>
    </row>
    <row r="23" spans="1:12" ht="16.5" customHeight="1">
      <c r="A23" s="999">
        <v>16</v>
      </c>
      <c r="B23" s="119" t="s">
        <v>62</v>
      </c>
      <c r="C23" s="1000"/>
      <c r="D23" s="1001"/>
      <c r="E23" s="1002"/>
      <c r="F23" s="1002"/>
      <c r="G23" s="1003">
        <f>SUM(G8:G22)</f>
        <v>1019602.06</v>
      </c>
      <c r="H23" s="1003">
        <f>SUM(H8:H22)</f>
        <v>994602.06</v>
      </c>
      <c r="I23" s="48"/>
      <c r="J23" s="48"/>
      <c r="K23" s="1004"/>
    </row>
    <row r="24" spans="1:12" ht="16.5" customHeight="1">
      <c r="A24" s="999">
        <v>17</v>
      </c>
      <c r="B24" s="119" t="s">
        <v>63</v>
      </c>
      <c r="C24" s="1000"/>
      <c r="D24" s="1005"/>
      <c r="E24" s="1002"/>
      <c r="F24" s="1006"/>
      <c r="G24" s="1003">
        <f>G23/1.18</f>
        <v>864069.54237288143</v>
      </c>
      <c r="H24" s="1003">
        <f>H23/1.18</f>
        <v>842883.10169491533</v>
      </c>
      <c r="I24" s="48"/>
      <c r="J24" s="48"/>
      <c r="K24" s="1004"/>
    </row>
    <row r="25" spans="1:12" ht="21.75" customHeight="1">
      <c r="A25" s="103">
        <v>18</v>
      </c>
      <c r="B25" s="129" t="s">
        <v>65</v>
      </c>
      <c r="C25" s="1007"/>
      <c r="D25" s="1008"/>
      <c r="E25" s="104">
        <v>7.4999999999999997E-2</v>
      </c>
      <c r="F25" s="1009"/>
      <c r="G25" s="106">
        <f>G23*E25</f>
        <v>76470.154500000004</v>
      </c>
      <c r="H25" s="106">
        <f>H23*E25</f>
        <v>74595.154500000004</v>
      </c>
      <c r="I25" s="588"/>
      <c r="J25" s="48"/>
      <c r="K25" s="48"/>
    </row>
    <row r="26" spans="1:12" ht="18" customHeight="1">
      <c r="A26" s="103">
        <v>19</v>
      </c>
      <c r="B26" s="133" t="s">
        <v>592</v>
      </c>
      <c r="C26" s="1010"/>
      <c r="D26" s="103" t="s">
        <v>14</v>
      </c>
      <c r="E26" s="106">
        <f>2765.88288883852*1.055*1.035</f>
        <v>3020.1366733950008</v>
      </c>
      <c r="F26" s="104">
        <v>10</v>
      </c>
      <c r="G26" s="105">
        <f>E26*F26</f>
        <v>30201.36673395001</v>
      </c>
      <c r="H26" s="105">
        <f>E26*F26</f>
        <v>30201.36673395001</v>
      </c>
      <c r="I26" s="48"/>
      <c r="J26" s="190"/>
      <c r="K26" s="592"/>
      <c r="L26" s="161"/>
    </row>
    <row r="27" spans="1:12" ht="32.25" customHeight="1">
      <c r="A27" s="103">
        <v>20</v>
      </c>
      <c r="B27" s="133" t="s">
        <v>625</v>
      </c>
      <c r="C27" s="1011"/>
      <c r="D27" s="1011"/>
      <c r="E27" s="1012"/>
      <c r="F27" s="1012"/>
      <c r="G27" s="142">
        <v>251770.74660000001</v>
      </c>
      <c r="H27" s="106">
        <f>G27</f>
        <v>251770.74660000001</v>
      </c>
      <c r="I27" s="48"/>
      <c r="J27" s="169"/>
      <c r="K27" s="190"/>
    </row>
    <row r="28" spans="1:12" ht="33" customHeight="1">
      <c r="A28" s="103">
        <v>21</v>
      </c>
      <c r="B28" s="133" t="s">
        <v>626</v>
      </c>
      <c r="C28" s="133"/>
      <c r="D28" s="103" t="s">
        <v>627</v>
      </c>
      <c r="E28" s="105">
        <f>267.413635994322*1.055*1.035</f>
        <v>291.99563448310005</v>
      </c>
      <c r="F28" s="103">
        <v>12</v>
      </c>
      <c r="G28" s="106">
        <f>E28*F28</f>
        <v>3503.9476137972006</v>
      </c>
      <c r="H28" s="106">
        <f>E28*F28</f>
        <v>3503.9476137972006</v>
      </c>
      <c r="I28" s="608"/>
      <c r="J28" s="197"/>
      <c r="K28" s="1013"/>
    </row>
    <row r="29" spans="1:12" ht="18" customHeight="1">
      <c r="A29" s="103">
        <v>22</v>
      </c>
      <c r="B29" s="133" t="s">
        <v>628</v>
      </c>
      <c r="C29" s="1011"/>
      <c r="D29" s="1011"/>
      <c r="E29" s="1012"/>
      <c r="F29" s="1012"/>
      <c r="G29" s="106">
        <f>G24*0.04</f>
        <v>34562.781694915255</v>
      </c>
      <c r="H29" s="106">
        <f>H24*0.04</f>
        <v>33715.324067796617</v>
      </c>
      <c r="I29" s="816" t="s">
        <v>128</v>
      </c>
      <c r="J29" s="213"/>
      <c r="K29" s="161"/>
    </row>
    <row r="30" spans="1:12" ht="32.25" customHeight="1">
      <c r="A30" s="103">
        <v>23</v>
      </c>
      <c r="B30" s="129" t="s">
        <v>629</v>
      </c>
      <c r="C30" s="1011"/>
      <c r="D30" s="1011"/>
      <c r="E30" s="1012"/>
      <c r="F30" s="1012"/>
      <c r="G30" s="106">
        <f>(G23+G25+G26+G27+G28+G29)*0.125</f>
        <v>177013.88214283279</v>
      </c>
      <c r="H30" s="106">
        <f>(H23+H25+H26+H27+H28+H29)*0.125</f>
        <v>173548.57493944297</v>
      </c>
      <c r="I30" s="1014"/>
      <c r="J30" s="213"/>
      <c r="K30" s="161"/>
    </row>
    <row r="31" spans="1:12" ht="30">
      <c r="A31" s="1002">
        <v>24</v>
      </c>
      <c r="B31" s="144" t="s">
        <v>630</v>
      </c>
      <c r="C31" s="1011"/>
      <c r="D31" s="1011"/>
      <c r="E31" s="1012"/>
      <c r="F31" s="1012"/>
      <c r="G31" s="122">
        <f>G24+G25+G26+G27+G28+G29+G30</f>
        <v>1437592.4216583765</v>
      </c>
      <c r="H31" s="122">
        <f>H24+H25+H26+H27+H28+H29+H30</f>
        <v>1410218.2161499022</v>
      </c>
      <c r="I31" s="987"/>
      <c r="J31" s="987"/>
      <c r="K31" s="161"/>
    </row>
    <row r="32" spans="1:12" ht="17.25" customHeight="1">
      <c r="A32" s="103">
        <v>25</v>
      </c>
      <c r="B32" s="129" t="s">
        <v>631</v>
      </c>
      <c r="C32" s="1011"/>
      <c r="D32" s="1011"/>
      <c r="E32" s="103">
        <v>0.09</v>
      </c>
      <c r="F32" s="1012"/>
      <c r="G32" s="106">
        <f>G31*E32</f>
        <v>129383.31794925388</v>
      </c>
      <c r="H32" s="106">
        <f>H31*E32</f>
        <v>126919.6394534912</v>
      </c>
      <c r="I32" s="987"/>
      <c r="J32" s="987"/>
      <c r="K32" s="161"/>
    </row>
    <row r="33" spans="1:13" ht="17.25" customHeight="1">
      <c r="A33" s="103">
        <v>26</v>
      </c>
      <c r="B33" s="129" t="s">
        <v>632</v>
      </c>
      <c r="C33" s="1011"/>
      <c r="D33" s="1011"/>
      <c r="E33" s="103">
        <v>0.09</v>
      </c>
      <c r="F33" s="1012"/>
      <c r="G33" s="106">
        <f>G31*E33</f>
        <v>129383.31794925388</v>
      </c>
      <c r="H33" s="106">
        <f>H31*E33</f>
        <v>126919.6394534912</v>
      </c>
      <c r="I33" s="1015"/>
      <c r="J33" s="174"/>
      <c r="K33" s="161"/>
    </row>
    <row r="34" spans="1:13" ht="33.75" customHeight="1">
      <c r="A34" s="103">
        <v>27</v>
      </c>
      <c r="B34" s="133" t="s">
        <v>633</v>
      </c>
      <c r="C34" s="1016"/>
      <c r="D34" s="133"/>
      <c r="E34" s="103"/>
      <c r="F34" s="103"/>
      <c r="G34" s="106">
        <f>G31*0.15</f>
        <v>215638.86324875648</v>
      </c>
      <c r="H34" s="106"/>
      <c r="I34" s="589"/>
      <c r="J34" s="745"/>
      <c r="L34" s="1017"/>
      <c r="M34" s="1017"/>
    </row>
    <row r="35" spans="1:13" ht="33" customHeight="1">
      <c r="A35" s="103">
        <v>28</v>
      </c>
      <c r="B35" s="133" t="s">
        <v>634</v>
      </c>
      <c r="C35" s="1018"/>
      <c r="D35" s="103" t="s">
        <v>247</v>
      </c>
      <c r="E35" s="103"/>
      <c r="F35" s="103"/>
      <c r="G35" s="106"/>
      <c r="H35" s="111"/>
      <c r="I35" s="590"/>
      <c r="J35" s="745"/>
      <c r="L35" s="1017"/>
      <c r="M35" s="1017"/>
    </row>
    <row r="36" spans="1:13" ht="30.75" customHeight="1">
      <c r="A36" s="103">
        <v>29</v>
      </c>
      <c r="B36" s="129" t="s">
        <v>635</v>
      </c>
      <c r="C36" s="1011"/>
      <c r="D36" s="1011"/>
      <c r="E36" s="1012"/>
      <c r="F36" s="1012"/>
      <c r="G36" s="106">
        <f>G31+G32+G33+G34</f>
        <v>1911997.9208056405</v>
      </c>
      <c r="H36" s="106">
        <f>H31+H32+H33+H35</f>
        <v>1664057.4950568846</v>
      </c>
    </row>
    <row r="37" spans="1:13" ht="19.5" customHeight="1">
      <c r="A37" s="999">
        <v>30</v>
      </c>
      <c r="B37" s="144" t="s">
        <v>76</v>
      </c>
      <c r="C37" s="1011"/>
      <c r="D37" s="1011"/>
      <c r="E37" s="1012"/>
      <c r="F37" s="1012"/>
      <c r="G37" s="122">
        <f>ROUND(G36,0)</f>
        <v>1911998</v>
      </c>
      <c r="H37" s="122">
        <f>ROUND(H36,0)</f>
        <v>1664057</v>
      </c>
      <c r="I37" s="48"/>
    </row>
    <row r="38" spans="1:13" ht="12" customHeight="1">
      <c r="A38" s="187"/>
      <c r="B38" s="187"/>
      <c r="C38" s="187"/>
      <c r="D38" s="187"/>
      <c r="E38" s="187"/>
      <c r="F38" s="187"/>
      <c r="G38" s="187"/>
      <c r="H38" s="187"/>
    </row>
    <row r="39" spans="1:13" ht="17.25" customHeight="1">
      <c r="A39" s="1019" t="s">
        <v>297</v>
      </c>
      <c r="B39" s="150" t="s">
        <v>636</v>
      </c>
    </row>
    <row r="40" spans="1:13" ht="18" customHeight="1">
      <c r="A40" s="1019" t="s">
        <v>637</v>
      </c>
      <c r="B40" s="150" t="s">
        <v>638</v>
      </c>
    </row>
    <row r="41" spans="1:13" ht="32.25" customHeight="1">
      <c r="B41" s="1020" t="s">
        <v>639</v>
      </c>
      <c r="C41" s="1020"/>
      <c r="D41" s="1020"/>
      <c r="E41" s="1020"/>
      <c r="F41" s="1020"/>
      <c r="G41" s="174"/>
    </row>
    <row r="42" spans="1:13" ht="32.25" customHeight="1">
      <c r="A42" s="1021" t="s">
        <v>640</v>
      </c>
      <c r="B42" s="1020" t="s">
        <v>641</v>
      </c>
      <c r="C42" s="1020"/>
      <c r="D42" s="1020"/>
      <c r="E42" s="1020"/>
      <c r="F42" s="1020"/>
      <c r="G42" s="978"/>
      <c r="H42" s="978"/>
    </row>
    <row r="43" spans="1:13" ht="14.25">
      <c r="B43" s="987"/>
    </row>
    <row r="44" spans="1:13" ht="14.25">
      <c r="B44" s="987"/>
      <c r="G44" s="153"/>
      <c r="H44" s="153"/>
    </row>
    <row r="45" spans="1:13" ht="14.25">
      <c r="B45" s="987"/>
    </row>
    <row r="46" spans="1:13" ht="14.25">
      <c r="B46" s="987"/>
    </row>
    <row r="47" spans="1:13" ht="14.25">
      <c r="B47" s="987"/>
    </row>
    <row r="48" spans="1:13" ht="14.25">
      <c r="B48" s="987"/>
    </row>
    <row r="49" spans="2:2" ht="14.25">
      <c r="B49" s="987"/>
    </row>
    <row r="50" spans="2:2" ht="14.25">
      <c r="B50" s="987"/>
    </row>
    <row r="51" spans="2:2" ht="14.25">
      <c r="B51" s="987"/>
    </row>
    <row r="52" spans="2:2" ht="14.25">
      <c r="B52" s="987"/>
    </row>
    <row r="53" spans="2:2" ht="14.25">
      <c r="B53" s="987"/>
    </row>
    <row r="54" spans="2:2" ht="14.25">
      <c r="B54" s="987"/>
    </row>
    <row r="55" spans="2:2" ht="14.25">
      <c r="B55" s="987"/>
    </row>
    <row r="56" spans="2:2" ht="14.25">
      <c r="B56" s="987"/>
    </row>
    <row r="57" spans="2:2" ht="14.25">
      <c r="B57" s="987"/>
    </row>
    <row r="58" spans="2:2" ht="14.25">
      <c r="B58" s="987"/>
    </row>
    <row r="59" spans="2:2" ht="14.25">
      <c r="B59" s="987"/>
    </row>
    <row r="60" spans="2:2" ht="14.25">
      <c r="B60" s="987"/>
    </row>
    <row r="61" spans="2:2" ht="14.25">
      <c r="B61" s="987"/>
    </row>
    <row r="62" spans="2:2" ht="14.25">
      <c r="B62" s="987"/>
    </row>
    <row r="63" spans="2:2" ht="14.25">
      <c r="B63" s="987"/>
    </row>
    <row r="64" spans="2:2" ht="14.25">
      <c r="B64" s="987"/>
    </row>
    <row r="68" spans="2:9" ht="14.25">
      <c r="B68" s="990"/>
    </row>
    <row r="73" spans="2:9" ht="15.75">
      <c r="B73" s="1022"/>
      <c r="C73" s="1022"/>
      <c r="D73" s="1022"/>
      <c r="E73" s="1022"/>
    </row>
    <row r="77" spans="2:9" ht="15">
      <c r="B77" s="1023"/>
    </row>
    <row r="78" spans="2:9">
      <c r="B78" s="190"/>
      <c r="C78" s="190"/>
      <c r="D78" s="190"/>
      <c r="E78" s="190"/>
      <c r="F78" s="190"/>
      <c r="G78" s="190"/>
      <c r="H78" s="190"/>
      <c r="I78" s="190"/>
    </row>
    <row r="79" spans="2:9">
      <c r="B79" s="190"/>
      <c r="C79" s="190"/>
      <c r="D79" s="190"/>
      <c r="E79" s="190"/>
      <c r="F79" s="190"/>
      <c r="G79" s="190"/>
      <c r="H79" s="190"/>
      <c r="I79" s="190"/>
    </row>
    <row r="80" spans="2:9" ht="18" customHeight="1">
      <c r="B80" s="190"/>
      <c r="C80" s="190"/>
      <c r="D80" s="190"/>
      <c r="E80" s="190"/>
      <c r="F80" s="190"/>
      <c r="G80" s="190"/>
      <c r="H80" s="190"/>
      <c r="I80" s="190"/>
    </row>
    <row r="81" spans="1:10" ht="13.5" customHeight="1">
      <c r="B81" s="190"/>
      <c r="C81" s="190"/>
      <c r="D81" s="190"/>
      <c r="E81" s="190"/>
      <c r="F81" s="190"/>
      <c r="G81" s="190"/>
      <c r="H81" s="190"/>
      <c r="I81" s="190"/>
    </row>
    <row r="82" spans="1:10" s="194" customFormat="1">
      <c r="B82" s="190"/>
      <c r="C82" s="190"/>
      <c r="D82" s="190"/>
      <c r="E82" s="190"/>
      <c r="F82" s="190"/>
      <c r="G82" s="190"/>
      <c r="H82" s="190"/>
      <c r="I82" s="190"/>
    </row>
    <row r="83" spans="1:10" ht="15.75">
      <c r="A83" s="169"/>
      <c r="B83" s="190"/>
      <c r="C83" s="190"/>
      <c r="D83" s="190"/>
      <c r="E83" s="190"/>
      <c r="F83" s="190"/>
      <c r="G83" s="190"/>
      <c r="H83" s="190"/>
      <c r="I83" s="190"/>
    </row>
    <row r="84" spans="1:10" ht="15.75">
      <c r="A84" s="168"/>
      <c r="B84" s="190"/>
      <c r="C84" s="190"/>
      <c r="D84" s="190"/>
      <c r="E84" s="190"/>
      <c r="F84" s="190"/>
      <c r="G84" s="190"/>
      <c r="H84" s="190"/>
      <c r="I84" s="190"/>
    </row>
    <row r="85" spans="1:10" ht="15.75">
      <c r="A85" s="168"/>
      <c r="B85" s="190"/>
      <c r="C85" s="190"/>
      <c r="D85" s="190"/>
      <c r="E85" s="190"/>
      <c r="F85" s="190"/>
      <c r="G85" s="190"/>
      <c r="H85" s="190"/>
      <c r="I85" s="190"/>
    </row>
    <row r="86" spans="1:10" ht="15.75" customHeight="1">
      <c r="A86" s="175"/>
      <c r="B86" s="190"/>
      <c r="C86" s="190"/>
      <c r="D86" s="190"/>
      <c r="E86" s="190"/>
      <c r="F86" s="190"/>
      <c r="G86" s="190"/>
      <c r="H86" s="190"/>
      <c r="I86" s="190"/>
      <c r="J86" s="161"/>
    </row>
    <row r="87" spans="1:10" ht="16.5" customHeight="1">
      <c r="A87" s="175"/>
      <c r="B87" s="190"/>
      <c r="C87" s="190"/>
      <c r="D87" s="190"/>
      <c r="E87" s="190"/>
      <c r="F87" s="190"/>
      <c r="G87" s="190"/>
      <c r="H87" s="190"/>
      <c r="I87" s="190"/>
    </row>
    <row r="88" spans="1:10" ht="15.75">
      <c r="A88" s="168"/>
      <c r="B88" s="190"/>
      <c r="C88" s="190"/>
      <c r="D88" s="190"/>
      <c r="E88" s="190"/>
      <c r="F88" s="190"/>
      <c r="G88" s="190"/>
      <c r="H88" s="190"/>
      <c r="I88" s="190"/>
    </row>
    <row r="89" spans="1:10" ht="15">
      <c r="A89" s="1024"/>
      <c r="B89" s="190"/>
      <c r="C89" s="190"/>
      <c r="D89" s="190"/>
      <c r="E89" s="190"/>
      <c r="F89" s="190"/>
      <c r="G89" s="190"/>
      <c r="H89" s="190"/>
      <c r="I89" s="190"/>
    </row>
    <row r="90" spans="1:10" ht="15">
      <c r="A90" s="1024"/>
      <c r="B90" s="190"/>
      <c r="C90" s="190"/>
      <c r="D90" s="190"/>
      <c r="E90" s="190"/>
      <c r="F90" s="190"/>
      <c r="G90" s="190"/>
      <c r="H90" s="190"/>
      <c r="I90" s="190"/>
    </row>
    <row r="91" spans="1:10" ht="15">
      <c r="A91" s="1024"/>
      <c r="B91" s="190"/>
      <c r="C91" s="190"/>
      <c r="D91" s="190"/>
      <c r="E91" s="190"/>
      <c r="F91" s="190"/>
      <c r="G91" s="190"/>
      <c r="H91" s="190"/>
      <c r="I91" s="190"/>
    </row>
    <row r="92" spans="1:10" ht="15">
      <c r="A92" s="1024"/>
      <c r="B92" s="190"/>
      <c r="C92" s="190"/>
      <c r="D92" s="190"/>
      <c r="E92" s="190"/>
      <c r="F92" s="190"/>
      <c r="G92" s="190"/>
      <c r="H92" s="190"/>
      <c r="I92" s="190"/>
    </row>
    <row r="93" spans="1:10" ht="15.75" customHeight="1">
      <c r="A93" s="1024"/>
      <c r="B93" s="190"/>
      <c r="C93" s="190"/>
      <c r="D93" s="190"/>
      <c r="E93" s="190"/>
      <c r="F93" s="190"/>
      <c r="G93" s="190"/>
      <c r="H93" s="190"/>
      <c r="I93" s="190"/>
    </row>
    <row r="94" spans="1:10" ht="15">
      <c r="A94" s="1024"/>
      <c r="B94" s="190"/>
      <c r="C94" s="190"/>
      <c r="D94" s="190"/>
      <c r="E94" s="190"/>
      <c r="F94" s="190"/>
      <c r="G94" s="190"/>
      <c r="H94" s="190"/>
      <c r="I94" s="190"/>
    </row>
    <row r="95" spans="1:10" ht="15">
      <c r="A95" s="1024"/>
      <c r="B95" s="190"/>
      <c r="C95" s="190"/>
      <c r="D95" s="190"/>
      <c r="E95" s="190"/>
      <c r="F95" s="190"/>
      <c r="G95" s="190"/>
      <c r="H95" s="190"/>
      <c r="I95" s="190"/>
    </row>
    <row r="96" spans="1:10" ht="15">
      <c r="A96" s="1024"/>
      <c r="B96" s="190"/>
      <c r="C96" s="190"/>
      <c r="D96" s="190"/>
      <c r="E96" s="190"/>
      <c r="F96" s="190"/>
      <c r="G96" s="190"/>
      <c r="H96" s="190"/>
      <c r="I96" s="190"/>
    </row>
    <row r="97" spans="1:9" ht="15">
      <c r="A97" s="1024"/>
      <c r="B97" s="190"/>
      <c r="C97" s="190"/>
      <c r="D97" s="190"/>
      <c r="E97" s="190"/>
      <c r="F97" s="190"/>
      <c r="G97" s="190"/>
      <c r="H97" s="190"/>
      <c r="I97" s="190"/>
    </row>
    <row r="98" spans="1:9" ht="15">
      <c r="A98" s="1025"/>
      <c r="B98" s="190"/>
      <c r="C98" s="190"/>
      <c r="D98" s="190"/>
      <c r="E98" s="190"/>
      <c r="F98" s="190"/>
      <c r="G98" s="190"/>
      <c r="H98" s="190"/>
      <c r="I98" s="190"/>
    </row>
    <row r="99" spans="1:9" ht="15">
      <c r="A99" s="1025"/>
      <c r="B99" s="190"/>
      <c r="C99" s="190"/>
      <c r="D99" s="190"/>
      <c r="E99" s="190"/>
      <c r="F99" s="190"/>
      <c r="G99" s="190"/>
      <c r="H99" s="190"/>
      <c r="I99" s="190"/>
    </row>
    <row r="100" spans="1:9" ht="15">
      <c r="A100" s="1026"/>
      <c r="B100" s="190"/>
      <c r="C100" s="190"/>
      <c r="D100" s="190"/>
      <c r="E100" s="190"/>
      <c r="F100" s="190"/>
      <c r="G100" s="190"/>
      <c r="H100" s="190"/>
      <c r="I100" s="190"/>
    </row>
    <row r="101" spans="1:9" ht="15">
      <c r="A101" s="1026"/>
      <c r="B101" s="190"/>
      <c r="C101" s="190"/>
      <c r="D101" s="190"/>
      <c r="E101" s="190"/>
      <c r="F101" s="190"/>
      <c r="G101" s="190"/>
      <c r="H101" s="190"/>
      <c r="I101" s="190"/>
    </row>
    <row r="102" spans="1:9" ht="15">
      <c r="A102" s="1026"/>
      <c r="B102" s="190"/>
      <c r="C102" s="190"/>
      <c r="D102" s="190"/>
      <c r="E102" s="190"/>
      <c r="F102" s="190"/>
      <c r="G102" s="190"/>
      <c r="H102" s="190"/>
      <c r="I102" s="190"/>
    </row>
    <row r="103" spans="1:9" ht="15">
      <c r="A103" s="1026"/>
      <c r="B103" s="190"/>
      <c r="C103" s="190"/>
      <c r="D103" s="190"/>
      <c r="E103" s="190"/>
      <c r="F103" s="190"/>
      <c r="G103" s="190"/>
      <c r="H103" s="190"/>
      <c r="I103" s="190"/>
    </row>
    <row r="104" spans="1:9" ht="15.75" customHeight="1">
      <c r="A104" s="1027"/>
      <c r="B104" s="190"/>
      <c r="C104" s="190"/>
      <c r="D104" s="190"/>
      <c r="E104" s="190"/>
      <c r="F104" s="190"/>
      <c r="G104" s="190"/>
      <c r="H104" s="190"/>
      <c r="I104" s="190"/>
    </row>
    <row r="105" spans="1:9" ht="15" customHeight="1">
      <c r="A105" s="1028"/>
      <c r="B105" s="190"/>
      <c r="C105" s="190"/>
      <c r="D105" s="190"/>
      <c r="E105" s="190"/>
      <c r="F105" s="190"/>
      <c r="G105" s="190"/>
      <c r="H105" s="190"/>
      <c r="I105" s="190"/>
    </row>
    <row r="106" spans="1:9" ht="15" customHeight="1">
      <c r="A106" s="1028"/>
      <c r="B106" s="190"/>
      <c r="C106" s="190"/>
      <c r="D106" s="190"/>
      <c r="E106" s="190"/>
      <c r="F106" s="190"/>
      <c r="G106" s="190"/>
      <c r="H106" s="190"/>
      <c r="I106" s="190"/>
    </row>
    <row r="107" spans="1:9" ht="15" customHeight="1">
      <c r="A107" s="1028"/>
      <c r="B107" s="190"/>
      <c r="C107" s="190"/>
      <c r="D107" s="190"/>
      <c r="E107" s="190"/>
      <c r="F107" s="190"/>
      <c r="G107" s="190"/>
      <c r="H107" s="190"/>
      <c r="I107" s="190"/>
    </row>
    <row r="108" spans="1:9" ht="15" customHeight="1">
      <c r="A108" s="1028"/>
      <c r="B108" s="190"/>
      <c r="C108" s="190"/>
      <c r="D108" s="190"/>
      <c r="E108" s="190"/>
      <c r="F108" s="190"/>
      <c r="G108" s="190"/>
      <c r="H108" s="190"/>
      <c r="I108" s="190"/>
    </row>
    <row r="109" spans="1:9" ht="15" customHeight="1">
      <c r="A109" s="1028"/>
      <c r="B109" s="190"/>
      <c r="C109" s="190"/>
      <c r="D109" s="190"/>
      <c r="E109" s="190"/>
      <c r="F109" s="190"/>
      <c r="G109" s="190"/>
      <c r="H109" s="190"/>
      <c r="I109" s="190"/>
    </row>
    <row r="110" spans="1:9" ht="15">
      <c r="A110" s="223"/>
      <c r="B110" s="190"/>
      <c r="C110" s="190"/>
      <c r="D110" s="190"/>
      <c r="E110" s="190"/>
      <c r="F110" s="190"/>
      <c r="G110" s="190"/>
      <c r="H110" s="190"/>
      <c r="I110" s="190"/>
    </row>
    <row r="111" spans="1:9" ht="15">
      <c r="A111" s="223"/>
      <c r="B111" s="190"/>
      <c r="C111" s="190"/>
      <c r="D111" s="190"/>
      <c r="E111" s="190"/>
      <c r="F111" s="190"/>
      <c r="G111" s="190"/>
      <c r="H111" s="190"/>
      <c r="I111" s="190"/>
    </row>
    <row r="112" spans="1:9" ht="15.75" customHeight="1">
      <c r="A112" s="223"/>
      <c r="B112" s="190"/>
      <c r="C112" s="190"/>
      <c r="D112" s="190"/>
      <c r="E112" s="190"/>
      <c r="F112" s="190"/>
      <c r="G112" s="190"/>
      <c r="H112" s="190"/>
      <c r="I112" s="190"/>
    </row>
    <row r="113" spans="1:9" ht="15">
      <c r="A113" s="223"/>
      <c r="B113" s="190"/>
      <c r="C113" s="190"/>
      <c r="D113" s="190"/>
      <c r="E113" s="190"/>
      <c r="F113" s="190"/>
      <c r="G113" s="190"/>
      <c r="H113" s="190"/>
      <c r="I113" s="190"/>
    </row>
    <row r="114" spans="1:9" ht="15.75" customHeight="1">
      <c r="A114" s="223"/>
      <c r="B114" s="190"/>
      <c r="C114" s="190"/>
      <c r="D114" s="190"/>
      <c r="E114" s="190"/>
      <c r="F114" s="190"/>
      <c r="G114" s="190"/>
      <c r="H114" s="190"/>
      <c r="I114" s="190"/>
    </row>
    <row r="115" spans="1:9" ht="30.75" customHeight="1">
      <c r="A115" s="1029"/>
      <c r="B115" s="190"/>
      <c r="C115" s="190"/>
      <c r="D115" s="190"/>
      <c r="E115" s="190"/>
      <c r="F115" s="190"/>
      <c r="G115" s="190"/>
      <c r="H115" s="190"/>
      <c r="I115" s="190"/>
    </row>
    <row r="116" spans="1:9" ht="15">
      <c r="A116" s="226"/>
      <c r="B116" s="190"/>
      <c r="C116" s="190"/>
      <c r="D116" s="190"/>
      <c r="E116" s="190"/>
      <c r="F116" s="190"/>
      <c r="G116" s="190"/>
      <c r="H116" s="190"/>
      <c r="I116" s="190"/>
    </row>
    <row r="117" spans="1:9" ht="15">
      <c r="A117" s="226"/>
      <c r="B117" s="190"/>
      <c r="C117" s="190"/>
      <c r="D117" s="190"/>
      <c r="E117" s="190"/>
      <c r="F117" s="190"/>
      <c r="G117" s="190"/>
      <c r="H117" s="190"/>
      <c r="I117" s="190"/>
    </row>
  </sheetData>
  <mergeCells count="11">
    <mergeCell ref="B41:F41"/>
    <mergeCell ref="B42:F42"/>
    <mergeCell ref="A105:A109"/>
    <mergeCell ref="B1:E1"/>
    <mergeCell ref="B3:G3"/>
    <mergeCell ref="A5:A6"/>
    <mergeCell ref="B5:B6"/>
    <mergeCell ref="C5:C6"/>
    <mergeCell ref="D5:D6"/>
    <mergeCell ref="E5:E6"/>
    <mergeCell ref="F5:F6"/>
  </mergeCells>
  <conditionalFormatting sqref="B23">
    <cfRule type="cellIs" dxfId="1" priority="2" stopIfTrue="1" operator="equal">
      <formula>"?"</formula>
    </cfRule>
  </conditionalFormatting>
  <conditionalFormatting sqref="B24">
    <cfRule type="cellIs" dxfId="0" priority="1" stopIfTrue="1" operator="equal">
      <formula>"?"</formula>
    </cfRule>
  </conditionalFormatting>
  <printOptions horizontalCentered="1"/>
  <pageMargins left="0.63" right="0.15" top="0.65" bottom="0.24" header="0.5" footer="0.16"/>
  <pageSetup paperSize="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IV46"/>
  <sheetViews>
    <sheetView workbookViewId="0">
      <pane xSplit="2" ySplit="6" topLeftCell="C20" activePane="bottomRight" state="frozen"/>
      <selection activeCell="J57" sqref="J57"/>
      <selection pane="topRight" activeCell="J57" sqref="J57"/>
      <selection pane="bottomLeft" activeCell="J57" sqref="J57"/>
      <selection pane="bottomRight" activeCell="F2" sqref="F2:G2"/>
    </sheetView>
  </sheetViews>
  <sheetFormatPr defaultRowHeight="12.75"/>
  <cols>
    <col min="1" max="1" width="5.140625" style="90" customWidth="1"/>
    <col min="2" max="2" width="54.28515625" style="431" customWidth="1"/>
    <col min="3" max="3" width="12.85546875" style="94" customWidth="1"/>
    <col min="4" max="4" width="5.5703125" style="611" customWidth="1"/>
    <col min="5" max="5" width="10.28515625" style="94" customWidth="1"/>
    <col min="6" max="6" width="6.140625" style="94" customWidth="1"/>
    <col min="7" max="7" width="11.140625" style="94" customWidth="1"/>
    <col min="8" max="8" width="21.42578125" style="94" customWidth="1"/>
    <col min="9" max="9" width="9.140625" style="94"/>
    <col min="10" max="10" width="12.42578125" style="94" bestFit="1" customWidth="1"/>
    <col min="11" max="256" width="9.140625" style="94"/>
    <col min="257" max="16384" width="9.140625" style="494"/>
  </cols>
  <sheetData>
    <row r="1" spans="1:9" ht="18">
      <c r="B1" s="903" t="s">
        <v>463</v>
      </c>
      <c r="C1" s="903"/>
      <c r="D1" s="903"/>
      <c r="E1" s="164"/>
      <c r="F1" s="164"/>
      <c r="G1" s="164"/>
    </row>
    <row r="2" spans="1:9" ht="15.75">
      <c r="B2" s="961" t="s">
        <v>464</v>
      </c>
      <c r="C2" s="961"/>
      <c r="D2" s="961"/>
      <c r="E2" s="602"/>
      <c r="F2" s="940" t="s">
        <v>493</v>
      </c>
      <c r="G2" s="940"/>
    </row>
    <row r="3" spans="1:9" ht="13.5" customHeight="1">
      <c r="A3" s="190"/>
      <c r="B3" s="190"/>
      <c r="C3" s="190"/>
      <c r="D3" s="190"/>
      <c r="E3" s="190"/>
      <c r="F3" s="190"/>
      <c r="G3" s="190"/>
    </row>
    <row r="4" spans="1:9" ht="15">
      <c r="A4" s="962" t="s">
        <v>465</v>
      </c>
      <c r="B4" s="962"/>
      <c r="C4" s="962"/>
      <c r="D4" s="962"/>
      <c r="E4" s="962"/>
      <c r="F4" s="962"/>
      <c r="G4" s="962"/>
    </row>
    <row r="5" spans="1:9">
      <c r="A5" s="578"/>
      <c r="B5" s="585"/>
      <c r="C5" s="161"/>
      <c r="D5" s="603"/>
      <c r="E5" s="161"/>
      <c r="F5" s="161"/>
      <c r="G5" s="452"/>
    </row>
    <row r="6" spans="1:9" ht="30" customHeight="1">
      <c r="A6" s="98" t="s">
        <v>105</v>
      </c>
      <c r="B6" s="98" t="s">
        <v>3</v>
      </c>
      <c r="C6" s="98" t="s">
        <v>4</v>
      </c>
      <c r="D6" s="98" t="s">
        <v>5</v>
      </c>
      <c r="E6" s="98" t="s">
        <v>10</v>
      </c>
      <c r="F6" s="98" t="s">
        <v>466</v>
      </c>
      <c r="G6" s="98" t="s">
        <v>429</v>
      </c>
    </row>
    <row r="7" spans="1:9" ht="15">
      <c r="A7" s="546">
        <v>1</v>
      </c>
      <c r="B7" s="604">
        <v>2</v>
      </c>
      <c r="C7" s="546">
        <v>3</v>
      </c>
      <c r="D7" s="604">
        <v>4</v>
      </c>
      <c r="E7" s="546">
        <v>5</v>
      </c>
      <c r="F7" s="604">
        <v>6</v>
      </c>
      <c r="G7" s="546">
        <v>7</v>
      </c>
    </row>
    <row r="8" spans="1:9" ht="30.75" customHeight="1">
      <c r="A8" s="513">
        <v>1</v>
      </c>
      <c r="B8" s="556" t="s">
        <v>467</v>
      </c>
      <c r="C8" s="616">
        <v>7130601958</v>
      </c>
      <c r="D8" s="513" t="s">
        <v>17</v>
      </c>
      <c r="E8" s="512">
        <v>62.81</v>
      </c>
      <c r="F8" s="513">
        <v>593.6</v>
      </c>
      <c r="G8" s="516">
        <f>F8*E8</f>
        <v>37284.016000000003</v>
      </c>
    </row>
    <row r="9" spans="1:9" ht="18.75" customHeight="1">
      <c r="A9" s="509">
        <v>2</v>
      </c>
      <c r="B9" s="556" t="s">
        <v>468</v>
      </c>
      <c r="C9" s="616">
        <v>7130810684</v>
      </c>
      <c r="D9" s="509" t="s">
        <v>54</v>
      </c>
      <c r="E9" s="512">
        <v>10516.35</v>
      </c>
      <c r="F9" s="509">
        <v>6</v>
      </c>
      <c r="G9" s="516">
        <f>F9*E9</f>
        <v>63098.100000000006</v>
      </c>
    </row>
    <row r="10" spans="1:9" ht="32.25" customHeight="1">
      <c r="A10" s="963">
        <v>3</v>
      </c>
      <c r="B10" s="617" t="s">
        <v>469</v>
      </c>
      <c r="C10" s="616"/>
      <c r="D10" s="513" t="s">
        <v>54</v>
      </c>
      <c r="E10" s="618">
        <f>G11+G12</f>
        <v>13769.100000000002</v>
      </c>
      <c r="F10" s="98">
        <v>15</v>
      </c>
      <c r="G10" s="516"/>
    </row>
    <row r="11" spans="1:9" ht="17.25" customHeight="1">
      <c r="A11" s="964"/>
      <c r="B11" s="556" t="s">
        <v>470</v>
      </c>
      <c r="C11" s="616">
        <v>7130820013</v>
      </c>
      <c r="D11" s="513" t="s">
        <v>14</v>
      </c>
      <c r="E11" s="512">
        <v>204.36</v>
      </c>
      <c r="F11" s="513">
        <v>45</v>
      </c>
      <c r="G11" s="516">
        <f t="shared" ref="G11:G16" si="0">F11*E11</f>
        <v>9196.2000000000007</v>
      </c>
      <c r="H11" s="589"/>
      <c r="I11" s="590"/>
    </row>
    <row r="12" spans="1:9" ht="17.25" customHeight="1">
      <c r="A12" s="954"/>
      <c r="B12" s="556" t="s">
        <v>471</v>
      </c>
      <c r="C12" s="616">
        <v>7130820248</v>
      </c>
      <c r="D12" s="513" t="s">
        <v>125</v>
      </c>
      <c r="E12" s="512">
        <v>304.86</v>
      </c>
      <c r="F12" s="513">
        <v>15</v>
      </c>
      <c r="G12" s="516">
        <f t="shared" si="0"/>
        <v>4572.9000000000005</v>
      </c>
    </row>
    <row r="13" spans="1:9" ht="18" customHeight="1">
      <c r="A13" s="509">
        <v>4</v>
      </c>
      <c r="B13" s="556" t="s">
        <v>472</v>
      </c>
      <c r="C13" s="616">
        <v>7131930752</v>
      </c>
      <c r="D13" s="509" t="s">
        <v>14</v>
      </c>
      <c r="E13" s="512">
        <v>43236.47</v>
      </c>
      <c r="F13" s="509">
        <v>2</v>
      </c>
      <c r="G13" s="516">
        <f t="shared" si="0"/>
        <v>86472.94</v>
      </c>
      <c r="H13" s="589"/>
      <c r="I13" s="590"/>
    </row>
    <row r="14" spans="1:9" ht="16.5" customHeight="1">
      <c r="A14" s="509">
        <v>5</v>
      </c>
      <c r="B14" s="556" t="s">
        <v>473</v>
      </c>
      <c r="C14" s="616">
        <v>7130830585</v>
      </c>
      <c r="D14" s="509" t="s">
        <v>14</v>
      </c>
      <c r="E14" s="512">
        <v>350.63</v>
      </c>
      <c r="F14" s="509">
        <v>12</v>
      </c>
      <c r="G14" s="516">
        <f t="shared" si="0"/>
        <v>4207.5599999999995</v>
      </c>
    </row>
    <row r="15" spans="1:9" ht="16.5" customHeight="1">
      <c r="A15" s="509">
        <v>6</v>
      </c>
      <c r="B15" s="556" t="s">
        <v>474</v>
      </c>
      <c r="C15" s="616">
        <v>7130830585</v>
      </c>
      <c r="D15" s="509" t="s">
        <v>14</v>
      </c>
      <c r="E15" s="512">
        <v>350.63</v>
      </c>
      <c r="F15" s="509">
        <v>6</v>
      </c>
      <c r="G15" s="516">
        <f t="shared" si="0"/>
        <v>2103.7799999999997</v>
      </c>
    </row>
    <row r="16" spans="1:9" ht="16.5" customHeight="1">
      <c r="A16" s="509">
        <v>7</v>
      </c>
      <c r="B16" s="556" t="s">
        <v>475</v>
      </c>
      <c r="C16" s="616">
        <v>7130830063</v>
      </c>
      <c r="D16" s="509" t="s">
        <v>29</v>
      </c>
      <c r="E16" s="512">
        <v>95.46</v>
      </c>
      <c r="F16" s="509">
        <v>50</v>
      </c>
      <c r="G16" s="516">
        <f t="shared" si="0"/>
        <v>4773</v>
      </c>
    </row>
    <row r="17" spans="1:12" ht="25.5" customHeight="1">
      <c r="A17" s="559">
        <v>8</v>
      </c>
      <c r="B17" s="556" t="s">
        <v>439</v>
      </c>
      <c r="C17" s="616">
        <v>7130200202</v>
      </c>
      <c r="D17" s="509" t="s">
        <v>70</v>
      </c>
      <c r="E17" s="512">
        <v>2970</v>
      </c>
      <c r="F17" s="509">
        <v>0.9</v>
      </c>
      <c r="G17" s="516">
        <f>F17*E17</f>
        <v>2673</v>
      </c>
      <c r="H17" s="619" t="s">
        <v>37</v>
      </c>
      <c r="I17" s="463"/>
    </row>
    <row r="18" spans="1:12" ht="16.5" customHeight="1">
      <c r="A18" s="559">
        <v>9</v>
      </c>
      <c r="B18" s="556" t="s">
        <v>27</v>
      </c>
      <c r="C18" s="616">
        <v>7130820009</v>
      </c>
      <c r="D18" s="509" t="s">
        <v>125</v>
      </c>
      <c r="E18" s="512">
        <v>333.95</v>
      </c>
      <c r="F18" s="509">
        <v>6</v>
      </c>
      <c r="G18" s="516">
        <f>F18*E18</f>
        <v>2003.6999999999998</v>
      </c>
    </row>
    <row r="19" spans="1:12" ht="16.5" customHeight="1">
      <c r="A19" s="559">
        <v>10</v>
      </c>
      <c r="B19" s="514" t="s">
        <v>38</v>
      </c>
      <c r="C19" s="537">
        <v>7130211158</v>
      </c>
      <c r="D19" s="537" t="s">
        <v>39</v>
      </c>
      <c r="E19" s="512">
        <v>181.98</v>
      </c>
      <c r="F19" s="509">
        <v>2</v>
      </c>
      <c r="G19" s="516">
        <f>F19*E19</f>
        <v>363.96</v>
      </c>
      <c r="H19" s="304"/>
    </row>
    <row r="20" spans="1:12" ht="16.5" customHeight="1">
      <c r="A20" s="559">
        <v>11</v>
      </c>
      <c r="B20" s="514" t="s">
        <v>40</v>
      </c>
      <c r="C20" s="537">
        <v>7130210809</v>
      </c>
      <c r="D20" s="537" t="s">
        <v>39</v>
      </c>
      <c r="E20" s="512">
        <v>406.6</v>
      </c>
      <c r="F20" s="509">
        <v>2</v>
      </c>
      <c r="G20" s="516">
        <f>F20*E20</f>
        <v>813.2</v>
      </c>
      <c r="H20" s="304"/>
    </row>
    <row r="21" spans="1:12" ht="16.5" customHeight="1">
      <c r="A21" s="900">
        <v>12</v>
      </c>
      <c r="B21" s="617" t="s">
        <v>451</v>
      </c>
      <c r="C21" s="616"/>
      <c r="D21" s="509" t="s">
        <v>17</v>
      </c>
      <c r="E21" s="512"/>
      <c r="F21" s="97">
        <f>SUM(F22:F27)</f>
        <v>40</v>
      </c>
      <c r="G21" s="516"/>
    </row>
    <row r="22" spans="1:12" ht="16.5" customHeight="1">
      <c r="A22" s="901"/>
      <c r="B22" s="510" t="s">
        <v>378</v>
      </c>
      <c r="C22" s="616">
        <v>7130620609</v>
      </c>
      <c r="D22" s="509" t="s">
        <v>17</v>
      </c>
      <c r="E22" s="512">
        <v>81.75</v>
      </c>
      <c r="F22" s="509">
        <v>2</v>
      </c>
      <c r="G22" s="516">
        <f t="shared" ref="G22:G27" si="1">F22*E22</f>
        <v>163.5</v>
      </c>
    </row>
    <row r="23" spans="1:12" ht="16.5" customHeight="1">
      <c r="A23" s="901"/>
      <c r="B23" s="510" t="s">
        <v>379</v>
      </c>
      <c r="C23" s="616">
        <v>7130620614</v>
      </c>
      <c r="D23" s="509" t="s">
        <v>17</v>
      </c>
      <c r="E23" s="512">
        <v>80.39</v>
      </c>
      <c r="F23" s="509">
        <v>3</v>
      </c>
      <c r="G23" s="516">
        <f t="shared" si="1"/>
        <v>241.17000000000002</v>
      </c>
    </row>
    <row r="24" spans="1:12" ht="16.5" customHeight="1">
      <c r="A24" s="901"/>
      <c r="B24" s="510" t="s">
        <v>380</v>
      </c>
      <c r="C24" s="616">
        <v>7130620619</v>
      </c>
      <c r="D24" s="509" t="s">
        <v>17</v>
      </c>
      <c r="E24" s="512">
        <v>80.39</v>
      </c>
      <c r="F24" s="509">
        <v>5</v>
      </c>
      <c r="G24" s="516">
        <f t="shared" si="1"/>
        <v>401.95</v>
      </c>
    </row>
    <row r="25" spans="1:12" ht="16.5" customHeight="1">
      <c r="A25" s="901"/>
      <c r="B25" s="510" t="s">
        <v>381</v>
      </c>
      <c r="C25" s="616">
        <v>7130620627</v>
      </c>
      <c r="D25" s="509" t="s">
        <v>17</v>
      </c>
      <c r="E25" s="512">
        <v>79.02</v>
      </c>
      <c r="F25" s="509">
        <v>15</v>
      </c>
      <c r="G25" s="516">
        <f t="shared" si="1"/>
        <v>1185.3</v>
      </c>
    </row>
    <row r="26" spans="1:12" ht="16.5" customHeight="1">
      <c r="A26" s="901"/>
      <c r="B26" s="510" t="s">
        <v>382</v>
      </c>
      <c r="C26" s="515">
        <v>7130620631</v>
      </c>
      <c r="D26" s="509" t="s">
        <v>17</v>
      </c>
      <c r="E26" s="512">
        <v>79.02</v>
      </c>
      <c r="F26" s="509">
        <v>10</v>
      </c>
      <c r="G26" s="516">
        <f t="shared" si="1"/>
        <v>790.19999999999993</v>
      </c>
    </row>
    <row r="27" spans="1:12" ht="16.5" customHeight="1">
      <c r="A27" s="902"/>
      <c r="B27" s="510" t="s">
        <v>383</v>
      </c>
      <c r="C27" s="616">
        <v>7130620637</v>
      </c>
      <c r="D27" s="509" t="s">
        <v>17</v>
      </c>
      <c r="E27" s="512">
        <v>79.02</v>
      </c>
      <c r="F27" s="509">
        <v>5</v>
      </c>
      <c r="G27" s="516">
        <f t="shared" si="1"/>
        <v>395.09999999999997</v>
      </c>
    </row>
    <row r="28" spans="1:12" ht="15" customHeight="1">
      <c r="A28" s="97">
        <v>13</v>
      </c>
      <c r="B28" s="620" t="s">
        <v>62</v>
      </c>
      <c r="C28" s="97"/>
      <c r="D28" s="97"/>
      <c r="E28" s="97"/>
      <c r="F28" s="97"/>
      <c r="G28" s="520">
        <f>SUM(G8:G27)</f>
        <v>220739.57600000006</v>
      </c>
      <c r="H28" s="195"/>
      <c r="I28" s="471"/>
    </row>
    <row r="29" spans="1:12" ht="15" customHeight="1">
      <c r="A29" s="621">
        <v>14</v>
      </c>
      <c r="B29" s="620" t="s">
        <v>63</v>
      </c>
      <c r="C29" s="97"/>
      <c r="D29" s="97"/>
      <c r="E29" s="97"/>
      <c r="F29" s="97"/>
      <c r="G29" s="520">
        <f>G28/1.18</f>
        <v>187067.43728813564</v>
      </c>
      <c r="H29" s="48"/>
      <c r="I29" s="471"/>
    </row>
    <row r="30" spans="1:12" ht="24.75" customHeight="1">
      <c r="A30" s="559">
        <v>15</v>
      </c>
      <c r="B30" s="541" t="s">
        <v>65</v>
      </c>
      <c r="C30" s="622"/>
      <c r="D30" s="622"/>
      <c r="E30" s="509">
        <v>7.4999999999999997E-2</v>
      </c>
      <c r="F30" s="509"/>
      <c r="G30" s="512">
        <f>G28*E30</f>
        <v>16555.468200000003</v>
      </c>
      <c r="H30" s="605"/>
      <c r="I30" s="471"/>
    </row>
    <row r="31" spans="1:12" ht="16.5" customHeight="1">
      <c r="A31" s="509">
        <v>16</v>
      </c>
      <c r="B31" s="556" t="s">
        <v>476</v>
      </c>
      <c r="C31" s="623"/>
      <c r="D31" s="509" t="s">
        <v>14</v>
      </c>
      <c r="E31" s="670">
        <f>4155.58775611077*1.055*1.035</f>
        <v>4537.5901605912522</v>
      </c>
      <c r="F31" s="509">
        <v>1</v>
      </c>
      <c r="G31" s="516">
        <f>F31*E31</f>
        <v>4537.5901605912522</v>
      </c>
      <c r="J31" s="592"/>
      <c r="K31" s="161"/>
      <c r="L31" s="592"/>
    </row>
    <row r="32" spans="1:12" ht="18" customHeight="1">
      <c r="A32" s="509">
        <v>17</v>
      </c>
      <c r="B32" s="556" t="s">
        <v>477</v>
      </c>
      <c r="C32" s="509"/>
      <c r="D32" s="509"/>
      <c r="E32" s="622"/>
      <c r="F32" s="622"/>
      <c r="G32" s="512">
        <v>24006.963100000001</v>
      </c>
      <c r="H32" s="402"/>
      <c r="I32" s="402"/>
    </row>
    <row r="33" spans="1:10" ht="18" customHeight="1">
      <c r="A33" s="509">
        <v>18</v>
      </c>
      <c r="B33" s="624" t="s">
        <v>69</v>
      </c>
      <c r="C33" s="509"/>
      <c r="D33" s="509" t="s">
        <v>70</v>
      </c>
      <c r="E33" s="512">
        <f>609.17479416*1.055*1.035</f>
        <v>665.17318711315795</v>
      </c>
      <c r="F33" s="509">
        <v>0.9</v>
      </c>
      <c r="G33" s="512">
        <f>E33*F33</f>
        <v>598.65586840184221</v>
      </c>
      <c r="H33" s="304"/>
      <c r="I33" s="402"/>
    </row>
    <row r="34" spans="1:10" ht="30.75" customHeight="1">
      <c r="A34" s="513">
        <v>19</v>
      </c>
      <c r="B34" s="556" t="s">
        <v>495</v>
      </c>
      <c r="C34" s="513"/>
      <c r="D34" s="513"/>
      <c r="E34" s="625"/>
      <c r="F34" s="510"/>
      <c r="G34" s="512">
        <f>G29*0.04</f>
        <v>7482.6974915254259</v>
      </c>
      <c r="H34" s="212"/>
      <c r="J34" s="592"/>
    </row>
    <row r="35" spans="1:10" ht="42.75" customHeight="1">
      <c r="A35" s="513">
        <v>20</v>
      </c>
      <c r="B35" s="541" t="s">
        <v>478</v>
      </c>
      <c r="C35" s="513"/>
      <c r="D35" s="513"/>
      <c r="E35" s="625"/>
      <c r="F35" s="510"/>
      <c r="G35" s="512">
        <f>(G28+G30+G31+G32+G33+G34)*0.125</f>
        <v>34240.118852564832</v>
      </c>
      <c r="H35" s="212"/>
      <c r="J35" s="213"/>
    </row>
    <row r="36" spans="1:10" ht="30">
      <c r="A36" s="98">
        <v>21</v>
      </c>
      <c r="B36" s="626" t="s">
        <v>479</v>
      </c>
      <c r="C36" s="513"/>
      <c r="D36" s="513"/>
      <c r="E36" s="625"/>
      <c r="F36" s="510"/>
      <c r="G36" s="618">
        <f>SUM(G29:G35)</f>
        <v>274488.93096121901</v>
      </c>
      <c r="H36" s="420"/>
    </row>
    <row r="37" spans="1:10" ht="18" customHeight="1">
      <c r="A37" s="513">
        <v>22</v>
      </c>
      <c r="B37" s="541" t="s">
        <v>480</v>
      </c>
      <c r="C37" s="513"/>
      <c r="D37" s="513"/>
      <c r="E37" s="516">
        <v>0.09</v>
      </c>
      <c r="F37" s="510"/>
      <c r="G37" s="516">
        <f>G36*E37</f>
        <v>24704.003786509711</v>
      </c>
      <c r="H37" s="420"/>
    </row>
    <row r="38" spans="1:10" ht="17.25" customHeight="1">
      <c r="A38" s="513">
        <v>23</v>
      </c>
      <c r="B38" s="541" t="s">
        <v>481</v>
      </c>
      <c r="C38" s="513"/>
      <c r="D38" s="513"/>
      <c r="E38" s="516">
        <v>0.09</v>
      </c>
      <c r="F38" s="510"/>
      <c r="G38" s="516">
        <f>G36*E38</f>
        <v>24704.003786509711</v>
      </c>
      <c r="H38" s="199"/>
    </row>
    <row r="39" spans="1:10" ht="16.5" customHeight="1">
      <c r="A39" s="509">
        <v>24</v>
      </c>
      <c r="B39" s="541" t="s">
        <v>482</v>
      </c>
      <c r="C39" s="509"/>
      <c r="D39" s="509"/>
      <c r="E39" s="622"/>
      <c r="F39" s="622"/>
      <c r="G39" s="512">
        <f>G36+G37+G38</f>
        <v>323896.93853423849</v>
      </c>
    </row>
    <row r="40" spans="1:10" ht="17.25" customHeight="1">
      <c r="A40" s="97">
        <v>25</v>
      </c>
      <c r="B40" s="626" t="s">
        <v>76</v>
      </c>
      <c r="C40" s="97"/>
      <c r="D40" s="97"/>
      <c r="E40" s="627"/>
      <c r="F40" s="627"/>
      <c r="G40" s="520">
        <f>ROUND(G39,0)</f>
        <v>323897</v>
      </c>
    </row>
    <row r="41" spans="1:10" ht="13.5" customHeight="1">
      <c r="A41" s="606"/>
      <c r="B41" s="607"/>
      <c r="C41" s="606"/>
      <c r="D41" s="606"/>
      <c r="E41" s="608"/>
      <c r="F41" s="608"/>
      <c r="G41" s="597"/>
    </row>
    <row r="42" spans="1:10" ht="33" customHeight="1">
      <c r="A42" s="960" t="s">
        <v>483</v>
      </c>
      <c r="B42" s="960"/>
      <c r="C42" s="960"/>
      <c r="D42" s="960"/>
      <c r="E42" s="960"/>
      <c r="F42" s="960"/>
      <c r="G42" s="960"/>
      <c r="H42" s="431"/>
    </row>
    <row r="43" spans="1:10" ht="15.75" customHeight="1">
      <c r="B43" s="609"/>
      <c r="C43" s="434"/>
      <c r="D43" s="610"/>
    </row>
    <row r="44" spans="1:10" ht="15">
      <c r="A44" s="578"/>
      <c r="G44" s="493"/>
      <c r="H44" s="493"/>
    </row>
    <row r="45" spans="1:10" ht="15">
      <c r="A45" s="493"/>
      <c r="B45" s="493"/>
      <c r="C45" s="493"/>
      <c r="D45" s="493"/>
      <c r="E45" s="493"/>
      <c r="G45" s="493"/>
      <c r="H45" s="493"/>
    </row>
    <row r="46" spans="1:10" ht="12.75" customHeight="1">
      <c r="A46" s="493"/>
      <c r="B46" s="493"/>
      <c r="C46" s="493"/>
      <c r="D46" s="493"/>
      <c r="E46" s="493"/>
    </row>
  </sheetData>
  <mergeCells count="7">
    <mergeCell ref="A42:G42"/>
    <mergeCell ref="B1:D1"/>
    <mergeCell ref="B2:D2"/>
    <mergeCell ref="F2:G2"/>
    <mergeCell ref="A4:G4"/>
    <mergeCell ref="A10:A12"/>
    <mergeCell ref="A21:A27"/>
  </mergeCells>
  <conditionalFormatting sqref="B28">
    <cfRule type="cellIs" dxfId="5" priority="2" stopIfTrue="1" operator="equal">
      <formula>"?"</formula>
    </cfRule>
  </conditionalFormatting>
  <conditionalFormatting sqref="B29">
    <cfRule type="cellIs" dxfId="4" priority="1" stopIfTrue="1" operator="equal">
      <formula>"?"</formula>
    </cfRule>
  </conditionalFormatting>
  <printOptions horizontalCentered="1"/>
  <pageMargins left="1.03" right="0.17" top="0.67" bottom="0.19" header="0.61" footer="0.16"/>
  <pageSetup paperSize="9" scale="125"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N40"/>
  <sheetViews>
    <sheetView zoomScaleNormal="100" zoomScaleSheetLayoutView="85" workbookViewId="0">
      <pane xSplit="3" ySplit="9" topLeftCell="D31" activePane="bottomRight" state="frozen"/>
      <selection pane="topRight" activeCell="D1" sqref="D1"/>
      <selection pane="bottomLeft" activeCell="A10" sqref="A10"/>
      <selection pane="bottomRight" activeCell="J5" sqref="J5:K5"/>
    </sheetView>
  </sheetViews>
  <sheetFormatPr defaultRowHeight="12.75"/>
  <cols>
    <col min="1" max="1" width="4.140625" style="205" customWidth="1"/>
    <col min="2" max="2" width="43.28515625" style="205" customWidth="1"/>
    <col min="3" max="3" width="15.140625" style="491" customWidth="1"/>
    <col min="4" max="4" width="5.28515625" style="205" customWidth="1"/>
    <col min="5" max="5" width="10.7109375" style="205" bestFit="1" customWidth="1"/>
    <col min="6" max="6" width="7" style="205" customWidth="1"/>
    <col min="7" max="7" width="12.42578125" style="205" customWidth="1"/>
    <col min="8" max="8" width="6" style="205" customWidth="1"/>
    <col min="9" max="9" width="11.85546875" style="205" customWidth="1"/>
    <col min="10" max="10" width="7" style="205" customWidth="1"/>
    <col min="11" max="11" width="11.7109375" style="205" customWidth="1"/>
    <col min="12" max="12" width="32.7109375" style="205" customWidth="1"/>
    <col min="13" max="16384" width="9.140625" style="205"/>
  </cols>
  <sheetData>
    <row r="1" spans="1:14" s="447" customFormat="1" ht="18">
      <c r="B1" s="448"/>
      <c r="C1" s="903" t="s">
        <v>405</v>
      </c>
      <c r="D1" s="903"/>
      <c r="E1" s="903"/>
      <c r="F1" s="903"/>
      <c r="G1" s="449"/>
      <c r="H1" s="448"/>
      <c r="I1" s="448"/>
      <c r="J1" s="448"/>
      <c r="K1" s="448"/>
    </row>
    <row r="2" spans="1:14" s="447" customFormat="1" ht="11.25" customHeight="1">
      <c r="A2" s="450"/>
      <c r="B2" s="450"/>
      <c r="C2" s="450"/>
      <c r="D2" s="450"/>
      <c r="E2" s="450"/>
      <c r="F2" s="450"/>
      <c r="G2" s="450"/>
      <c r="H2" s="450"/>
      <c r="I2" s="450"/>
      <c r="J2" s="450"/>
      <c r="K2" s="450"/>
    </row>
    <row r="3" spans="1:14" s="451" customFormat="1" ht="18.75" customHeight="1">
      <c r="A3" s="969" t="s">
        <v>406</v>
      </c>
      <c r="B3" s="969"/>
      <c r="C3" s="969"/>
      <c r="D3" s="969"/>
      <c r="E3" s="969"/>
      <c r="F3" s="969"/>
      <c r="G3" s="969"/>
      <c r="H3" s="969"/>
      <c r="I3" s="969"/>
      <c r="J3" s="969"/>
      <c r="K3" s="969"/>
    </row>
    <row r="4" spans="1:14" s="451" customFormat="1" ht="8.25" customHeight="1">
      <c r="A4" s="169"/>
      <c r="B4" s="169"/>
      <c r="C4" s="169"/>
      <c r="D4" s="169"/>
      <c r="E4" s="169"/>
      <c r="F4" s="169"/>
      <c r="G4" s="169"/>
      <c r="H4" s="169"/>
      <c r="I4" s="169"/>
      <c r="J4" s="169"/>
      <c r="K4" s="169"/>
    </row>
    <row r="5" spans="1:14" s="451" customFormat="1" ht="18" customHeight="1">
      <c r="A5" s="452"/>
      <c r="B5" s="452"/>
      <c r="C5" s="452"/>
      <c r="D5" s="452"/>
      <c r="E5" s="452"/>
      <c r="F5" s="452"/>
      <c r="G5" s="452"/>
      <c r="H5" s="452"/>
      <c r="I5" s="452"/>
      <c r="J5" s="940" t="s">
        <v>493</v>
      </c>
      <c r="K5" s="940"/>
      <c r="L5" s="453"/>
    </row>
    <row r="6" spans="1:14" s="451" customFormat="1">
      <c r="A6" s="452"/>
      <c r="B6" s="452"/>
      <c r="C6" s="452"/>
      <c r="D6" s="452"/>
      <c r="E6" s="452"/>
      <c r="F6" s="452"/>
      <c r="G6" s="452"/>
      <c r="H6" s="452"/>
      <c r="I6" s="452"/>
      <c r="J6" s="452"/>
      <c r="K6" s="452"/>
      <c r="L6" s="453"/>
    </row>
    <row r="7" spans="1:14" ht="27" customHeight="1">
      <c r="A7" s="970" t="s">
        <v>105</v>
      </c>
      <c r="B7" s="972" t="s">
        <v>3</v>
      </c>
      <c r="C7" s="973" t="s">
        <v>4</v>
      </c>
      <c r="D7" s="972" t="s">
        <v>5</v>
      </c>
      <c r="E7" s="972" t="s">
        <v>10</v>
      </c>
      <c r="F7" s="942" t="s">
        <v>407</v>
      </c>
      <c r="G7" s="942"/>
      <c r="H7" s="942" t="s">
        <v>408</v>
      </c>
      <c r="I7" s="942"/>
      <c r="J7" s="942" t="s">
        <v>409</v>
      </c>
      <c r="K7" s="942"/>
    </row>
    <row r="8" spans="1:14" ht="16.5" customHeight="1">
      <c r="A8" s="971"/>
      <c r="B8" s="957"/>
      <c r="C8" s="974"/>
      <c r="D8" s="957"/>
      <c r="E8" s="957"/>
      <c r="F8" s="454" t="s">
        <v>302</v>
      </c>
      <c r="G8" s="455" t="s">
        <v>11</v>
      </c>
      <c r="H8" s="456" t="s">
        <v>302</v>
      </c>
      <c r="I8" s="455" t="s">
        <v>11</v>
      </c>
      <c r="J8" s="244" t="s">
        <v>302</v>
      </c>
      <c r="K8" s="244" t="s">
        <v>11</v>
      </c>
    </row>
    <row r="9" spans="1:14">
      <c r="A9" s="245">
        <v>1</v>
      </c>
      <c r="B9" s="245">
        <v>2</v>
      </c>
      <c r="C9" s="245">
        <v>3</v>
      </c>
      <c r="D9" s="245">
        <v>4</v>
      </c>
      <c r="E9" s="245">
        <v>5</v>
      </c>
      <c r="F9" s="245">
        <v>6</v>
      </c>
      <c r="G9" s="245">
        <v>7</v>
      </c>
      <c r="H9" s="245">
        <v>8</v>
      </c>
      <c r="I9" s="245">
        <v>9</v>
      </c>
      <c r="J9" s="245">
        <v>10</v>
      </c>
      <c r="K9" s="245">
        <v>11</v>
      </c>
      <c r="N9" s="457"/>
    </row>
    <row r="10" spans="1:14" ht="16.5" customHeight="1">
      <c r="A10" s="349">
        <v>1</v>
      </c>
      <c r="B10" s="300" t="s">
        <v>410</v>
      </c>
      <c r="C10" s="285">
        <v>7132220095</v>
      </c>
      <c r="D10" s="349" t="s">
        <v>14</v>
      </c>
      <c r="E10" s="260">
        <v>3163634.22</v>
      </c>
      <c r="F10" s="349">
        <v>1</v>
      </c>
      <c r="G10" s="382">
        <f>F10*E10</f>
        <v>3163634.22</v>
      </c>
      <c r="H10" s="458" t="s">
        <v>147</v>
      </c>
      <c r="I10" s="458" t="s">
        <v>147</v>
      </c>
      <c r="J10" s="458" t="s">
        <v>147</v>
      </c>
      <c r="K10" s="458" t="s">
        <v>147</v>
      </c>
    </row>
    <row r="11" spans="1:14" ht="16.5" customHeight="1">
      <c r="A11" s="349">
        <v>2</v>
      </c>
      <c r="B11" s="300" t="s">
        <v>411</v>
      </c>
      <c r="C11" s="285">
        <v>7132220097</v>
      </c>
      <c r="D11" s="349" t="s">
        <v>14</v>
      </c>
      <c r="E11" s="260">
        <v>4283437.71</v>
      </c>
      <c r="F11" s="458" t="s">
        <v>147</v>
      </c>
      <c r="G11" s="458" t="s">
        <v>147</v>
      </c>
      <c r="H11" s="349">
        <v>1</v>
      </c>
      <c r="I11" s="382">
        <f>H11*E11</f>
        <v>4283437.71</v>
      </c>
      <c r="J11" s="349">
        <v>1</v>
      </c>
      <c r="K11" s="382">
        <f>J11*E11</f>
        <v>4283437.71</v>
      </c>
    </row>
    <row r="12" spans="1:14" ht="16.5" customHeight="1">
      <c r="A12" s="965">
        <v>3</v>
      </c>
      <c r="B12" s="252" t="s">
        <v>412</v>
      </c>
      <c r="C12" s="285"/>
      <c r="D12" s="349" t="s">
        <v>14</v>
      </c>
      <c r="E12" s="260"/>
      <c r="F12" s="458">
        <v>1</v>
      </c>
      <c r="G12" s="459"/>
      <c r="H12" s="458" t="s">
        <v>147</v>
      </c>
      <c r="I12" s="459" t="s">
        <v>147</v>
      </c>
      <c r="J12" s="349">
        <v>1</v>
      </c>
      <c r="K12" s="382"/>
    </row>
    <row r="13" spans="1:14" ht="16.5" customHeight="1">
      <c r="A13" s="966"/>
      <c r="B13" s="460" t="s">
        <v>413</v>
      </c>
      <c r="C13" s="285">
        <v>7131943380</v>
      </c>
      <c r="D13" s="461" t="s">
        <v>14</v>
      </c>
      <c r="E13" s="260">
        <v>303153.58</v>
      </c>
      <c r="F13" s="458">
        <v>1</v>
      </c>
      <c r="G13" s="459">
        <f>F13*E13</f>
        <v>303153.58</v>
      </c>
      <c r="H13" s="458"/>
      <c r="I13" s="459"/>
      <c r="J13" s="458">
        <v>1</v>
      </c>
      <c r="K13" s="382">
        <f>J13*G13</f>
        <v>303153.58</v>
      </c>
    </row>
    <row r="14" spans="1:14" ht="16.5" customHeight="1">
      <c r="A14" s="966"/>
      <c r="B14" s="460" t="s">
        <v>314</v>
      </c>
      <c r="C14" s="285">
        <v>7131960524</v>
      </c>
      <c r="D14" s="461" t="s">
        <v>14</v>
      </c>
      <c r="E14" s="260">
        <v>39001.74</v>
      </c>
      <c r="F14" s="458">
        <v>1</v>
      </c>
      <c r="G14" s="459">
        <f>F14*E14</f>
        <v>39001.74</v>
      </c>
      <c r="H14" s="458"/>
      <c r="I14" s="459"/>
      <c r="J14" s="458">
        <v>1</v>
      </c>
      <c r="K14" s="382">
        <f>J14*G14</f>
        <v>39001.74</v>
      </c>
      <c r="L14" s="182"/>
    </row>
    <row r="15" spans="1:14" ht="16.5" customHeight="1">
      <c r="A15" s="967"/>
      <c r="B15" s="460" t="s">
        <v>414</v>
      </c>
      <c r="C15" s="285">
        <v>7132230263</v>
      </c>
      <c r="D15" s="461" t="s">
        <v>14</v>
      </c>
      <c r="E15" s="260">
        <v>23365.52</v>
      </c>
      <c r="F15" s="461">
        <v>3</v>
      </c>
      <c r="G15" s="459">
        <f>F15*E15</f>
        <v>70096.56</v>
      </c>
      <c r="H15" s="458"/>
      <c r="I15" s="459"/>
      <c r="J15" s="461">
        <v>3</v>
      </c>
      <c r="K15" s="382">
        <f>J15*E15</f>
        <v>70096.56</v>
      </c>
    </row>
    <row r="16" spans="1:14" ht="25.5" customHeight="1">
      <c r="A16" s="349">
        <v>4</v>
      </c>
      <c r="B16" s="278" t="s">
        <v>415</v>
      </c>
      <c r="C16" s="258">
        <v>7130200202</v>
      </c>
      <c r="D16" s="349" t="s">
        <v>70</v>
      </c>
      <c r="E16" s="260">
        <v>2970</v>
      </c>
      <c r="F16" s="458" t="s">
        <v>147</v>
      </c>
      <c r="G16" s="459" t="s">
        <v>147</v>
      </c>
      <c r="H16" s="458" t="s">
        <v>147</v>
      </c>
      <c r="I16" s="459" t="s">
        <v>147</v>
      </c>
      <c r="J16" s="349">
        <v>7</v>
      </c>
      <c r="K16" s="382">
        <f>J16*E16</f>
        <v>20790</v>
      </c>
      <c r="L16" s="462" t="s">
        <v>37</v>
      </c>
      <c r="M16" s="463"/>
    </row>
    <row r="17" spans="1:13" s="468" customFormat="1" ht="16.5" customHeight="1">
      <c r="A17" s="386">
        <v>5</v>
      </c>
      <c r="B17" s="464" t="s">
        <v>416</v>
      </c>
      <c r="C17" s="465"/>
      <c r="D17" s="466"/>
      <c r="E17" s="466"/>
      <c r="F17" s="466"/>
      <c r="G17" s="466"/>
      <c r="H17" s="466"/>
      <c r="I17" s="466"/>
      <c r="J17" s="466"/>
      <c r="K17" s="467"/>
    </row>
    <row r="18" spans="1:13" s="198" customFormat="1" ht="16.5" customHeight="1">
      <c r="A18" s="469" t="s">
        <v>203</v>
      </c>
      <c r="B18" s="278" t="s">
        <v>204</v>
      </c>
      <c r="C18" s="285">
        <v>7130310658</v>
      </c>
      <c r="D18" s="349" t="s">
        <v>29</v>
      </c>
      <c r="E18" s="260">
        <v>204.44</v>
      </c>
      <c r="F18" s="458">
        <v>60</v>
      </c>
      <c r="G18" s="459">
        <f>F18*E18</f>
        <v>12266.4</v>
      </c>
      <c r="H18" s="458">
        <v>60</v>
      </c>
      <c r="I18" s="459">
        <f>H18*E18</f>
        <v>12266.4</v>
      </c>
      <c r="J18" s="349">
        <v>60</v>
      </c>
      <c r="K18" s="382">
        <f>J18*E18</f>
        <v>12266.4</v>
      </c>
    </row>
    <row r="19" spans="1:13" s="198" customFormat="1" ht="16.5" customHeight="1">
      <c r="A19" s="305" t="s">
        <v>206</v>
      </c>
      <c r="B19" s="278" t="s">
        <v>207</v>
      </c>
      <c r="C19" s="285">
        <v>7130310654</v>
      </c>
      <c r="D19" s="349" t="s">
        <v>29</v>
      </c>
      <c r="E19" s="260">
        <v>107.4</v>
      </c>
      <c r="F19" s="458">
        <v>120</v>
      </c>
      <c r="G19" s="459">
        <f>F19*E19</f>
        <v>12888</v>
      </c>
      <c r="H19" s="458">
        <v>120</v>
      </c>
      <c r="I19" s="459">
        <f>H19*E19</f>
        <v>12888</v>
      </c>
      <c r="J19" s="349">
        <v>120</v>
      </c>
      <c r="K19" s="382">
        <f>J19*E19</f>
        <v>12888</v>
      </c>
    </row>
    <row r="20" spans="1:13" s="198" customFormat="1" ht="16.5" customHeight="1">
      <c r="A20" s="305" t="s">
        <v>208</v>
      </c>
      <c r="B20" s="278" t="s">
        <v>209</v>
      </c>
      <c r="C20" s="285">
        <v>7130310652</v>
      </c>
      <c r="D20" s="349" t="s">
        <v>29</v>
      </c>
      <c r="E20" s="260">
        <v>61.25</v>
      </c>
      <c r="F20" s="458">
        <v>60</v>
      </c>
      <c r="G20" s="459">
        <f>F20*E20</f>
        <v>3675</v>
      </c>
      <c r="H20" s="458">
        <v>60</v>
      </c>
      <c r="I20" s="459">
        <f>H20*E20</f>
        <v>3675</v>
      </c>
      <c r="J20" s="349">
        <v>60</v>
      </c>
      <c r="K20" s="382">
        <f>J20*E20</f>
        <v>3675</v>
      </c>
    </row>
    <row r="21" spans="1:13" s="198" customFormat="1" ht="16.5" customHeight="1">
      <c r="A21" s="349">
        <v>6</v>
      </c>
      <c r="B21" s="278" t="s">
        <v>417</v>
      </c>
      <c r="C21" s="285">
        <v>7130830586</v>
      </c>
      <c r="D21" s="349" t="s">
        <v>14</v>
      </c>
      <c r="E21" s="260">
        <v>280.2</v>
      </c>
      <c r="F21" s="458"/>
      <c r="G21" s="458"/>
      <c r="H21" s="458"/>
      <c r="I21" s="458"/>
      <c r="J21" s="349">
        <v>7</v>
      </c>
      <c r="K21" s="382">
        <f>J21*E21</f>
        <v>1961.3999999999999</v>
      </c>
    </row>
    <row r="22" spans="1:13" ht="16.5" customHeight="1">
      <c r="A22" s="349">
        <v>7</v>
      </c>
      <c r="B22" s="300" t="s">
        <v>418</v>
      </c>
      <c r="C22" s="285">
        <v>7130830586</v>
      </c>
      <c r="D22" s="349" t="s">
        <v>14</v>
      </c>
      <c r="E22" s="260">
        <v>280.2</v>
      </c>
      <c r="F22" s="458" t="s">
        <v>147</v>
      </c>
      <c r="G22" s="458" t="s">
        <v>147</v>
      </c>
      <c r="H22" s="458" t="s">
        <v>147</v>
      </c>
      <c r="I22" s="458" t="s">
        <v>147</v>
      </c>
      <c r="J22" s="349">
        <v>3</v>
      </c>
      <c r="K22" s="382">
        <f>J22*E22</f>
        <v>840.59999999999991</v>
      </c>
    </row>
    <row r="23" spans="1:13" s="194" customFormat="1" ht="16.5" customHeight="1">
      <c r="A23" s="322">
        <v>8</v>
      </c>
      <c r="B23" s="376" t="s">
        <v>62</v>
      </c>
      <c r="C23" s="470"/>
      <c r="D23" s="322"/>
      <c r="E23" s="322"/>
      <c r="F23" s="322"/>
      <c r="G23" s="263">
        <f>SUM(G10:G22)</f>
        <v>3604715.5000000005</v>
      </c>
      <c r="H23" s="263"/>
      <c r="I23" s="263">
        <f>SUM(I10:I22)</f>
        <v>4312267.1100000003</v>
      </c>
      <c r="J23" s="263"/>
      <c r="K23" s="263">
        <f>SUM(K10:K22)</f>
        <v>4748110.99</v>
      </c>
      <c r="L23" s="196"/>
      <c r="M23" s="471"/>
    </row>
    <row r="24" spans="1:13" s="194" customFormat="1" ht="16.5" customHeight="1">
      <c r="A24" s="322">
        <v>9</v>
      </c>
      <c r="B24" s="376" t="s">
        <v>63</v>
      </c>
      <c r="C24" s="470"/>
      <c r="D24" s="322"/>
      <c r="E24" s="322"/>
      <c r="F24" s="322"/>
      <c r="G24" s="263">
        <f>G23/1.18</f>
        <v>3054843.6440677973</v>
      </c>
      <c r="H24" s="263"/>
      <c r="I24" s="263">
        <f>I23/1.18</f>
        <v>3654463.6525423732</v>
      </c>
      <c r="J24" s="263"/>
      <c r="K24" s="263">
        <f>K23/1.18</f>
        <v>4023822.8728813562</v>
      </c>
      <c r="L24" s="127" t="s">
        <v>64</v>
      </c>
      <c r="M24" s="471"/>
    </row>
    <row r="25" spans="1:13" ht="16.5" customHeight="1">
      <c r="A25" s="349">
        <v>10</v>
      </c>
      <c r="B25" s="306" t="s">
        <v>65</v>
      </c>
      <c r="C25" s="297"/>
      <c r="D25" s="349"/>
      <c r="E25" s="349">
        <v>7.4999999999999997E-2</v>
      </c>
      <c r="F25" s="349"/>
      <c r="G25" s="382">
        <f>G23*E25</f>
        <v>270353.66250000003</v>
      </c>
      <c r="H25" s="349"/>
      <c r="I25" s="382">
        <f>I23*E25</f>
        <v>323420.03325000004</v>
      </c>
      <c r="J25" s="382"/>
      <c r="K25" s="382">
        <f>K23*E25</f>
        <v>356108.32425000001</v>
      </c>
      <c r="L25" s="472" t="s">
        <v>66</v>
      </c>
      <c r="M25" s="471"/>
    </row>
    <row r="26" spans="1:13" ht="15.75" customHeight="1">
      <c r="A26" s="349">
        <v>11</v>
      </c>
      <c r="B26" s="278" t="s">
        <v>419</v>
      </c>
      <c r="C26" s="473"/>
      <c r="D26" s="474"/>
      <c r="E26" s="475"/>
      <c r="F26" s="476"/>
      <c r="G26" s="459">
        <v>80242.009999999995</v>
      </c>
      <c r="H26" s="458"/>
      <c r="I26" s="459">
        <f>G26</f>
        <v>80242.009999999995</v>
      </c>
      <c r="J26" s="459"/>
      <c r="K26" s="459">
        <f>I26</f>
        <v>80242.009999999995</v>
      </c>
      <c r="L26" s="192"/>
    </row>
    <row r="27" spans="1:13" ht="14.25" customHeight="1">
      <c r="A27" s="349">
        <v>12</v>
      </c>
      <c r="B27" s="477" t="s">
        <v>69</v>
      </c>
      <c r="C27" s="473"/>
      <c r="D27" s="349" t="s">
        <v>70</v>
      </c>
      <c r="E27" s="663">
        <f>453*1.2778*1.0524*1.055*1.035</f>
        <v>665.17318711315784</v>
      </c>
      <c r="F27" s="458" t="s">
        <v>147</v>
      </c>
      <c r="G27" s="459" t="s">
        <v>147</v>
      </c>
      <c r="H27" s="458" t="s">
        <v>147</v>
      </c>
      <c r="I27" s="459" t="s">
        <v>147</v>
      </c>
      <c r="J27" s="478">
        <v>7</v>
      </c>
      <c r="K27" s="459">
        <f>E27*J27</f>
        <v>4656.2123097921049</v>
      </c>
      <c r="L27" s="304"/>
    </row>
    <row r="28" spans="1:13" ht="15.75" customHeight="1">
      <c r="A28" s="349">
        <v>13</v>
      </c>
      <c r="B28" s="409" t="s">
        <v>496</v>
      </c>
      <c r="C28" s="301"/>
      <c r="D28" s="349"/>
      <c r="E28" s="382"/>
      <c r="F28" s="458"/>
      <c r="G28" s="613">
        <f>G24*0.04</f>
        <v>122193.7457627119</v>
      </c>
      <c r="H28" s="614"/>
      <c r="I28" s="613">
        <f>I24*0.04</f>
        <v>146178.54610169493</v>
      </c>
      <c r="J28" s="615"/>
      <c r="K28" s="613">
        <f>K24*0.04</f>
        <v>160952.91491525425</v>
      </c>
      <c r="M28" s="410"/>
    </row>
    <row r="29" spans="1:13" ht="40.5" customHeight="1">
      <c r="A29" s="349">
        <v>14</v>
      </c>
      <c r="B29" s="306" t="s">
        <v>497</v>
      </c>
      <c r="C29" s="473"/>
      <c r="D29" s="474"/>
      <c r="E29" s="475"/>
      <c r="F29" s="476"/>
      <c r="G29" s="382">
        <f>(G23+G25+G26+G28)*0.125</f>
        <v>509688.11478283902</v>
      </c>
      <c r="H29" s="382"/>
      <c r="I29" s="382">
        <f>(I23+I25+I26+I28)*0.125</f>
        <v>607763.46241896192</v>
      </c>
      <c r="J29" s="382"/>
      <c r="K29" s="382">
        <f>(K23+K25+K26+K28)*0.125</f>
        <v>668176.77989565674</v>
      </c>
      <c r="L29" s="189"/>
    </row>
    <row r="30" spans="1:13" s="194" customFormat="1" ht="29.25" customHeight="1">
      <c r="A30" s="349">
        <v>15</v>
      </c>
      <c r="B30" s="414" t="s">
        <v>498</v>
      </c>
      <c r="C30" s="470"/>
      <c r="D30" s="322"/>
      <c r="E30" s="322"/>
      <c r="F30" s="322"/>
      <c r="G30" s="263">
        <f>SUM(G24:G29)</f>
        <v>4037321.1771133482</v>
      </c>
      <c r="H30" s="263"/>
      <c r="I30" s="263">
        <f>SUM(I24:I29)</f>
        <v>4812067.7043130305</v>
      </c>
      <c r="J30" s="263"/>
      <c r="K30" s="263">
        <f>SUM(K24:K29)</f>
        <v>5293959.1142520588</v>
      </c>
      <c r="L30" s="468"/>
      <c r="M30" s="479"/>
    </row>
    <row r="31" spans="1:13" s="194" customFormat="1" ht="18" customHeight="1">
      <c r="A31" s="349">
        <v>16</v>
      </c>
      <c r="B31" s="306" t="s">
        <v>499</v>
      </c>
      <c r="C31" s="470"/>
      <c r="D31" s="322"/>
      <c r="E31" s="349">
        <v>0.09</v>
      </c>
      <c r="F31" s="349"/>
      <c r="G31" s="382">
        <f>G30*E31</f>
        <v>363358.90594020131</v>
      </c>
      <c r="H31" s="382"/>
      <c r="I31" s="382">
        <f>I30*E31</f>
        <v>433086.09338817274</v>
      </c>
      <c r="J31" s="382"/>
      <c r="K31" s="382">
        <f>K30*E31</f>
        <v>476456.32028268528</v>
      </c>
      <c r="L31" s="468"/>
      <c r="M31" s="479"/>
    </row>
    <row r="32" spans="1:13" s="194" customFormat="1" ht="18" customHeight="1">
      <c r="A32" s="349">
        <v>17</v>
      </c>
      <c r="B32" s="306" t="s">
        <v>500</v>
      </c>
      <c r="C32" s="470"/>
      <c r="D32" s="322"/>
      <c r="E32" s="349">
        <v>0.09</v>
      </c>
      <c r="F32" s="349"/>
      <c r="G32" s="382">
        <f>G30*E32</f>
        <v>363358.90594020131</v>
      </c>
      <c r="H32" s="382"/>
      <c r="I32" s="382">
        <f>I30*E32</f>
        <v>433086.09338817274</v>
      </c>
      <c r="J32" s="382"/>
      <c r="K32" s="382">
        <f>K30*E32</f>
        <v>476456.32028268528</v>
      </c>
      <c r="L32" s="199"/>
      <c r="M32" s="479"/>
    </row>
    <row r="33" spans="1:13" ht="27.75" customHeight="1">
      <c r="A33" s="671">
        <v>18</v>
      </c>
      <c r="B33" s="672" t="s">
        <v>420</v>
      </c>
      <c r="C33" s="673"/>
      <c r="D33" s="671"/>
      <c r="E33" s="665"/>
      <c r="F33" s="674"/>
      <c r="G33" s="665">
        <v>712530</v>
      </c>
      <c r="H33" s="675"/>
      <c r="I33" s="665">
        <v>939310</v>
      </c>
      <c r="J33" s="665"/>
      <c r="K33" s="665">
        <v>111619</v>
      </c>
      <c r="M33" s="480"/>
    </row>
    <row r="34" spans="1:13" ht="27.75" customHeight="1">
      <c r="A34" s="368">
        <v>19</v>
      </c>
      <c r="B34" s="306" t="s">
        <v>501</v>
      </c>
      <c r="C34" s="297"/>
      <c r="D34" s="349"/>
      <c r="E34" s="349"/>
      <c r="F34" s="349"/>
      <c r="G34" s="382">
        <f>G30+G31+G32-G33</f>
        <v>4051508.9889937509</v>
      </c>
      <c r="H34" s="382"/>
      <c r="I34" s="382">
        <f>I30+I31+I32-I33</f>
        <v>4738929.8910893761</v>
      </c>
      <c r="J34" s="382"/>
      <c r="K34" s="382">
        <f>K30+K31+K32-K33</f>
        <v>6135252.7548174299</v>
      </c>
    </row>
    <row r="35" spans="1:13" s="194" customFormat="1" ht="28.5" customHeight="1">
      <c r="A35" s="368">
        <v>20</v>
      </c>
      <c r="B35" s="414" t="s">
        <v>421</v>
      </c>
      <c r="C35" s="481"/>
      <c r="D35" s="419"/>
      <c r="E35" s="419"/>
      <c r="F35" s="419"/>
      <c r="G35" s="482">
        <f>ROUND(G34,0)</f>
        <v>4051509</v>
      </c>
      <c r="H35" s="482"/>
      <c r="I35" s="482">
        <f>ROUND(I34,0)</f>
        <v>4738930</v>
      </c>
      <c r="J35" s="482"/>
      <c r="K35" s="482">
        <f>ROUND(K34,0)</f>
        <v>6135253</v>
      </c>
    </row>
    <row r="36" spans="1:13" s="194" customFormat="1" ht="12" customHeight="1">
      <c r="A36" s="483"/>
      <c r="B36" s="484"/>
      <c r="C36" s="485"/>
      <c r="D36" s="483"/>
      <c r="E36" s="483"/>
      <c r="F36" s="483"/>
      <c r="G36" s="486"/>
      <c r="H36" s="486"/>
      <c r="I36" s="486"/>
      <c r="J36" s="486"/>
      <c r="K36" s="486"/>
    </row>
    <row r="37" spans="1:13" ht="17.25" customHeight="1">
      <c r="A37" s="487"/>
      <c r="B37" s="968" t="s">
        <v>422</v>
      </c>
      <c r="C37" s="968"/>
      <c r="D37" s="488"/>
      <c r="E37" s="488"/>
      <c r="F37" s="488"/>
      <c r="G37" s="489"/>
      <c r="H37" s="489"/>
      <c r="I37" s="489"/>
      <c r="J37" s="489"/>
      <c r="K37" s="489"/>
    </row>
    <row r="38" spans="1:13">
      <c r="A38" s="487"/>
      <c r="B38" s="189"/>
      <c r="C38" s="490"/>
      <c r="D38" s="488"/>
      <c r="E38" s="488"/>
      <c r="F38" s="488"/>
      <c r="G38" s="489"/>
      <c r="H38" s="489"/>
      <c r="I38" s="489"/>
      <c r="J38" s="489"/>
      <c r="K38" s="489"/>
    </row>
    <row r="39" spans="1:13" ht="18">
      <c r="B39" s="189"/>
      <c r="E39" s="492"/>
      <c r="G39" s="480"/>
      <c r="H39" s="480"/>
      <c r="I39" s="480"/>
    </row>
    <row r="40" spans="1:13" ht="15">
      <c r="A40" s="493"/>
      <c r="B40" s="484"/>
      <c r="C40" s="493"/>
      <c r="G40" s="480"/>
      <c r="H40" s="480"/>
      <c r="I40" s="480"/>
      <c r="J40" s="480"/>
      <c r="K40" s="480"/>
    </row>
  </sheetData>
  <mergeCells count="13">
    <mergeCell ref="A12:A15"/>
    <mergeCell ref="B37:C37"/>
    <mergeCell ref="C1:F1"/>
    <mergeCell ref="A3:K3"/>
    <mergeCell ref="A7:A8"/>
    <mergeCell ref="B7:B8"/>
    <mergeCell ref="C7:C8"/>
    <mergeCell ref="D7:D8"/>
    <mergeCell ref="E7:E8"/>
    <mergeCell ref="F7:G7"/>
    <mergeCell ref="H7:I7"/>
    <mergeCell ref="J7:K7"/>
    <mergeCell ref="J5:K5"/>
  </mergeCells>
  <conditionalFormatting sqref="B23">
    <cfRule type="cellIs" dxfId="3" priority="2" stopIfTrue="1" operator="equal">
      <formula>"?"</formula>
    </cfRule>
  </conditionalFormatting>
  <conditionalFormatting sqref="B24">
    <cfRule type="cellIs" dxfId="2" priority="1" stopIfTrue="1" operator="equal">
      <formula>"?"</formula>
    </cfRule>
  </conditionalFormatting>
  <printOptions horizontalCentered="1"/>
  <pageMargins left="0.74803149606299213" right="0.15748031496062992" top="0.70866141732283472" bottom="0.27559055118110237" header="0.55118110236220474" footer="0.15748031496062992"/>
  <pageSetup paperSize="9" scale="97" orientation="landscape" horizontalDpi="120" verticalDpi="18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Q79"/>
  <sheetViews>
    <sheetView zoomScale="90" zoomScaleNormal="90" zoomScaleSheetLayoutView="70" workbookViewId="0">
      <pane xSplit="2" ySplit="8" topLeftCell="C48" activePane="bottomRight" state="frozen"/>
      <selection pane="topRight" activeCell="C1" sqref="C1"/>
      <selection pane="bottomLeft" activeCell="A9" sqref="A9"/>
      <selection pane="bottomRight" activeCell="F37" sqref="F37"/>
    </sheetView>
  </sheetViews>
  <sheetFormatPr defaultRowHeight="12.75"/>
  <cols>
    <col min="1" max="1" width="4.28515625" style="1" customWidth="1"/>
    <col min="2" max="2" width="42.85546875" style="3" customWidth="1"/>
    <col min="3" max="3" width="14.85546875" style="86" customWidth="1"/>
    <col min="4" max="4" width="5.5703125" style="1" customWidth="1"/>
    <col min="5" max="5" width="7.140625" style="87" customWidth="1"/>
    <col min="6" max="6" width="10.140625" style="87" customWidth="1"/>
    <col min="7" max="7" width="12.28515625" style="87" customWidth="1"/>
    <col min="8" max="8" width="6.5703125" style="87" bestFit="1" customWidth="1"/>
    <col min="9" max="9" width="9.85546875" style="87" bestFit="1" customWidth="1"/>
    <col min="10" max="10" width="12.28515625" style="87" customWidth="1"/>
    <col min="11" max="11" width="6.5703125" style="87" bestFit="1" customWidth="1"/>
    <col min="12" max="12" width="9.5703125" style="87" customWidth="1"/>
    <col min="13" max="13" width="12.28515625" style="87" customWidth="1"/>
    <col min="14" max="14" width="29.28515625" style="3" customWidth="1"/>
    <col min="15" max="15" width="13.28515625" style="3" bestFit="1" customWidth="1"/>
    <col min="16" max="16" width="13.140625" style="3" customWidth="1"/>
    <col min="17" max="16384" width="9.140625" style="3"/>
  </cols>
  <sheetData>
    <row r="1" spans="1:15" ht="18" customHeight="1">
      <c r="B1" s="2"/>
      <c r="C1" s="844" t="s">
        <v>0</v>
      </c>
      <c r="D1" s="844"/>
      <c r="E1" s="844"/>
      <c r="F1" s="844"/>
      <c r="G1" s="844"/>
      <c r="H1" s="2"/>
      <c r="I1" s="2"/>
      <c r="J1" s="2"/>
      <c r="K1" s="2"/>
      <c r="L1" s="2"/>
      <c r="M1" s="2"/>
    </row>
    <row r="2" spans="1:15" ht="13.5" customHeight="1">
      <c r="A2" s="4"/>
      <c r="B2" s="4"/>
      <c r="C2" s="4"/>
      <c r="D2" s="4"/>
      <c r="E2" s="4"/>
      <c r="F2" s="4"/>
      <c r="G2" s="4"/>
      <c r="H2" s="4"/>
      <c r="I2" s="4"/>
      <c r="J2" s="4"/>
      <c r="K2" s="4"/>
      <c r="L2" s="4"/>
      <c r="M2" s="4"/>
    </row>
    <row r="3" spans="1:15" ht="39" customHeight="1">
      <c r="B3" s="845" t="s">
        <v>1</v>
      </c>
      <c r="C3" s="845"/>
      <c r="D3" s="845"/>
      <c r="E3" s="845"/>
      <c r="F3" s="845"/>
      <c r="G3" s="845"/>
      <c r="H3" s="845"/>
      <c r="I3" s="845"/>
      <c r="J3" s="845"/>
      <c r="K3" s="5"/>
      <c r="L3" s="5"/>
      <c r="M3" s="5"/>
    </row>
    <row r="4" spans="1:15" ht="10.5" customHeight="1">
      <c r="A4" s="846"/>
      <c r="B4" s="846"/>
      <c r="C4" s="846"/>
      <c r="D4" s="846"/>
      <c r="E4" s="846"/>
      <c r="F4" s="846"/>
      <c r="G4" s="846"/>
      <c r="H4" s="846"/>
      <c r="I4" s="846"/>
      <c r="J4" s="846"/>
      <c r="K4" s="6"/>
      <c r="L4" s="6"/>
      <c r="M4" s="6"/>
    </row>
    <row r="5" spans="1:15" ht="15.75" customHeight="1">
      <c r="A5" s="7"/>
      <c r="B5" s="8"/>
      <c r="C5" s="9"/>
      <c r="D5" s="7"/>
      <c r="E5" s="7"/>
      <c r="F5" s="7"/>
      <c r="G5" s="7"/>
      <c r="H5" s="10"/>
      <c r="I5" s="10"/>
      <c r="J5" s="11" t="s">
        <v>493</v>
      </c>
      <c r="K5" s="12"/>
      <c r="L5" s="12"/>
      <c r="M5" s="12"/>
    </row>
    <row r="6" spans="1:15" ht="33.75" customHeight="1">
      <c r="A6" s="847" t="s">
        <v>2</v>
      </c>
      <c r="B6" s="847" t="s">
        <v>3</v>
      </c>
      <c r="C6" s="848" t="s">
        <v>4</v>
      </c>
      <c r="D6" s="847" t="s">
        <v>5</v>
      </c>
      <c r="E6" s="850" t="s">
        <v>6</v>
      </c>
      <c r="F6" s="850"/>
      <c r="G6" s="850"/>
      <c r="H6" s="850" t="s">
        <v>7</v>
      </c>
      <c r="I6" s="850"/>
      <c r="J6" s="850"/>
      <c r="K6" s="835" t="s">
        <v>8</v>
      </c>
      <c r="L6" s="836"/>
      <c r="M6" s="837"/>
      <c r="O6" s="13"/>
    </row>
    <row r="7" spans="1:15" s="15" customFormat="1" ht="18" customHeight="1">
      <c r="A7" s="847"/>
      <c r="B7" s="847"/>
      <c r="C7" s="849"/>
      <c r="D7" s="847"/>
      <c r="E7" s="14" t="s">
        <v>9</v>
      </c>
      <c r="F7" s="14" t="s">
        <v>10</v>
      </c>
      <c r="G7" s="14" t="s">
        <v>11</v>
      </c>
      <c r="H7" s="14" t="s">
        <v>9</v>
      </c>
      <c r="I7" s="14" t="s">
        <v>10</v>
      </c>
      <c r="J7" s="14" t="s">
        <v>11</v>
      </c>
      <c r="K7" s="14" t="s">
        <v>9</v>
      </c>
      <c r="L7" s="14" t="s">
        <v>12</v>
      </c>
      <c r="M7" s="14" t="s">
        <v>11</v>
      </c>
    </row>
    <row r="8" spans="1:15" s="15" customFormat="1" ht="15.75">
      <c r="A8" s="16">
        <v>1</v>
      </c>
      <c r="B8" s="16">
        <v>2</v>
      </c>
      <c r="C8" s="17">
        <v>3</v>
      </c>
      <c r="D8" s="16">
        <v>4</v>
      </c>
      <c r="E8" s="18">
        <v>5</v>
      </c>
      <c r="F8" s="18">
        <v>6</v>
      </c>
      <c r="G8" s="18">
        <v>7</v>
      </c>
      <c r="H8" s="18">
        <v>8</v>
      </c>
      <c r="I8" s="18">
        <v>9</v>
      </c>
      <c r="J8" s="18">
        <v>10</v>
      </c>
      <c r="K8" s="18">
        <v>11</v>
      </c>
      <c r="L8" s="18">
        <v>12</v>
      </c>
      <c r="M8" s="18">
        <v>13</v>
      </c>
      <c r="O8" s="19"/>
    </row>
    <row r="9" spans="1:15" ht="21" customHeight="1">
      <c r="A9" s="20">
        <v>1</v>
      </c>
      <c r="B9" s="21" t="s">
        <v>13</v>
      </c>
      <c r="C9" s="22">
        <v>7130800033</v>
      </c>
      <c r="D9" s="20" t="s">
        <v>14</v>
      </c>
      <c r="E9" s="23">
        <v>10</v>
      </c>
      <c r="F9" s="24">
        <v>4451.53</v>
      </c>
      <c r="G9" s="24">
        <f>F9*E9</f>
        <v>44515.299999999996</v>
      </c>
      <c r="H9" s="24"/>
      <c r="I9" s="24"/>
      <c r="J9" s="24"/>
      <c r="K9" s="24"/>
      <c r="L9" s="24"/>
      <c r="M9" s="24"/>
    </row>
    <row r="10" spans="1:15" ht="36.75" customHeight="1">
      <c r="A10" s="20" t="s">
        <v>15</v>
      </c>
      <c r="B10" s="21" t="s">
        <v>16</v>
      </c>
      <c r="C10" s="22">
        <v>7130601958</v>
      </c>
      <c r="D10" s="20" t="s">
        <v>17</v>
      </c>
      <c r="E10" s="24"/>
      <c r="F10" s="24"/>
      <c r="G10" s="24"/>
      <c r="H10" s="23">
        <v>4823</v>
      </c>
      <c r="I10" s="25">
        <v>62.81</v>
      </c>
      <c r="J10" s="24">
        <f>I10*H10</f>
        <v>302932.63</v>
      </c>
      <c r="K10" s="24"/>
      <c r="L10" s="24"/>
      <c r="M10" s="24"/>
    </row>
    <row r="11" spans="1:15" ht="23.25" customHeight="1">
      <c r="A11" s="20" t="s">
        <v>18</v>
      </c>
      <c r="B11" s="21" t="s">
        <v>19</v>
      </c>
      <c r="C11" s="22">
        <v>7130800002</v>
      </c>
      <c r="D11" s="20" t="s">
        <v>14</v>
      </c>
      <c r="E11" s="24"/>
      <c r="F11" s="24"/>
      <c r="G11" s="24"/>
      <c r="H11" s="23"/>
      <c r="I11" s="25"/>
      <c r="J11" s="24"/>
      <c r="K11" s="23">
        <v>10</v>
      </c>
      <c r="L11" s="26">
        <v>7656.89</v>
      </c>
      <c r="M11" s="24">
        <f>K11*L11</f>
        <v>76568.900000000009</v>
      </c>
      <c r="O11" s="13"/>
    </row>
    <row r="12" spans="1:15" ht="19.5" customHeight="1">
      <c r="A12" s="22">
        <v>4</v>
      </c>
      <c r="B12" s="21" t="s">
        <v>20</v>
      </c>
      <c r="C12" s="22">
        <v>7130810595</v>
      </c>
      <c r="D12" s="27" t="s">
        <v>14</v>
      </c>
      <c r="E12" s="28">
        <v>10</v>
      </c>
      <c r="F12" s="26">
        <v>2899.86</v>
      </c>
      <c r="G12" s="26">
        <f>F12*E12</f>
        <v>28998.600000000002</v>
      </c>
      <c r="H12" s="28">
        <v>10</v>
      </c>
      <c r="I12" s="29">
        <f>F12</f>
        <v>2899.86</v>
      </c>
      <c r="J12" s="26">
        <f>I12*H12</f>
        <v>28998.600000000002</v>
      </c>
      <c r="K12" s="28">
        <v>10</v>
      </c>
      <c r="L12" s="26">
        <f>I12</f>
        <v>2899.86</v>
      </c>
      <c r="M12" s="26">
        <f t="shared" ref="M12:M45" si="0">K12*L12</f>
        <v>28998.600000000002</v>
      </c>
    </row>
    <row r="13" spans="1:15" ht="20.25" customHeight="1">
      <c r="A13" s="838">
        <v>5</v>
      </c>
      <c r="B13" s="21" t="s">
        <v>21</v>
      </c>
      <c r="C13" s="30"/>
      <c r="D13" s="30"/>
      <c r="E13" s="31"/>
      <c r="F13" s="31"/>
      <c r="G13" s="31"/>
      <c r="H13" s="31"/>
      <c r="I13" s="31"/>
      <c r="J13" s="31"/>
      <c r="K13" s="32"/>
      <c r="L13" s="33"/>
      <c r="M13" s="34"/>
    </row>
    <row r="14" spans="1:15" ht="18.75" customHeight="1">
      <c r="A14" s="839"/>
      <c r="B14" s="21" t="s">
        <v>22</v>
      </c>
      <c r="C14" s="22">
        <v>7130810193</v>
      </c>
      <c r="D14" s="20" t="s">
        <v>23</v>
      </c>
      <c r="E14" s="35">
        <v>10</v>
      </c>
      <c r="F14" s="36">
        <v>403.7</v>
      </c>
      <c r="G14" s="36">
        <f>F14*E14</f>
        <v>4037</v>
      </c>
      <c r="H14" s="36"/>
      <c r="I14" s="36"/>
      <c r="J14" s="36"/>
      <c r="K14" s="35">
        <v>10</v>
      </c>
      <c r="L14" s="36">
        <f>F14</f>
        <v>403.7</v>
      </c>
      <c r="M14" s="36">
        <f t="shared" si="0"/>
        <v>4037</v>
      </c>
    </row>
    <row r="15" spans="1:15" ht="18.75" customHeight="1">
      <c r="A15" s="839"/>
      <c r="B15" s="21" t="s">
        <v>24</v>
      </c>
      <c r="C15" s="22">
        <v>7130810692</v>
      </c>
      <c r="D15" s="20" t="s">
        <v>23</v>
      </c>
      <c r="E15" s="23"/>
      <c r="F15" s="24"/>
      <c r="G15" s="24"/>
      <c r="H15" s="23">
        <v>10</v>
      </c>
      <c r="I15" s="25">
        <v>447.87</v>
      </c>
      <c r="J15" s="24">
        <f t="shared" ref="J15:J21" si="1">I15*H15</f>
        <v>4478.7</v>
      </c>
      <c r="K15" s="23"/>
      <c r="L15" s="24"/>
      <c r="M15" s="24"/>
    </row>
    <row r="16" spans="1:15" ht="20.25" customHeight="1">
      <c r="A16" s="22">
        <v>6</v>
      </c>
      <c r="B16" s="21" t="s">
        <v>25</v>
      </c>
      <c r="C16" s="22">
        <v>7130810676</v>
      </c>
      <c r="D16" s="20" t="s">
        <v>14</v>
      </c>
      <c r="E16" s="23">
        <v>10</v>
      </c>
      <c r="F16" s="24">
        <v>482.48</v>
      </c>
      <c r="G16" s="24">
        <f t="shared" ref="G16:G22" si="2">F16*E16</f>
        <v>4824.8</v>
      </c>
      <c r="H16" s="23">
        <v>10</v>
      </c>
      <c r="I16" s="25">
        <f>F16</f>
        <v>482.48</v>
      </c>
      <c r="J16" s="24">
        <f t="shared" si="1"/>
        <v>4824.8</v>
      </c>
      <c r="K16" s="23">
        <v>10</v>
      </c>
      <c r="L16" s="24">
        <f>I16</f>
        <v>482.48</v>
      </c>
      <c r="M16" s="24">
        <f t="shared" si="0"/>
        <v>4824.8</v>
      </c>
    </row>
    <row r="17" spans="1:16" ht="36" customHeight="1">
      <c r="A17" s="22">
        <v>7</v>
      </c>
      <c r="B17" s="21" t="s">
        <v>26</v>
      </c>
      <c r="C17" s="22">
        <v>7130870013</v>
      </c>
      <c r="D17" s="20" t="s">
        <v>14</v>
      </c>
      <c r="E17" s="23">
        <v>10</v>
      </c>
      <c r="F17" s="24">
        <v>149.30000000000001</v>
      </c>
      <c r="G17" s="24">
        <f t="shared" si="2"/>
        <v>1493</v>
      </c>
      <c r="H17" s="23">
        <v>10</v>
      </c>
      <c r="I17" s="25">
        <f>F17</f>
        <v>149.30000000000001</v>
      </c>
      <c r="J17" s="24">
        <f t="shared" si="1"/>
        <v>1493</v>
      </c>
      <c r="K17" s="23">
        <v>10</v>
      </c>
      <c r="L17" s="25">
        <f>I17</f>
        <v>149.30000000000001</v>
      </c>
      <c r="M17" s="24">
        <f t="shared" si="0"/>
        <v>1493</v>
      </c>
    </row>
    <row r="18" spans="1:16" ht="20.25" customHeight="1">
      <c r="A18" s="22">
        <v>8</v>
      </c>
      <c r="B18" s="21" t="s">
        <v>27</v>
      </c>
      <c r="C18" s="22">
        <v>7130820009</v>
      </c>
      <c r="D18" s="20" t="s">
        <v>14</v>
      </c>
      <c r="E18" s="23">
        <v>30</v>
      </c>
      <c r="F18" s="24">
        <v>333.95</v>
      </c>
      <c r="G18" s="24">
        <f t="shared" si="2"/>
        <v>10018.5</v>
      </c>
      <c r="H18" s="23">
        <v>30</v>
      </c>
      <c r="I18" s="25">
        <f t="shared" ref="I18:I21" si="3">F18</f>
        <v>333.95</v>
      </c>
      <c r="J18" s="24">
        <f t="shared" si="1"/>
        <v>10018.5</v>
      </c>
      <c r="K18" s="23">
        <v>30</v>
      </c>
      <c r="L18" s="25">
        <f t="shared" ref="L18:L21" si="4">I18</f>
        <v>333.95</v>
      </c>
      <c r="M18" s="24">
        <f t="shared" si="0"/>
        <v>10018.5</v>
      </c>
      <c r="O18" s="37"/>
    </row>
    <row r="19" spans="1:16" ht="36.75" customHeight="1">
      <c r="A19" s="22">
        <v>9</v>
      </c>
      <c r="B19" s="21" t="s">
        <v>28</v>
      </c>
      <c r="C19" s="22">
        <v>7130830060</v>
      </c>
      <c r="D19" s="20" t="s">
        <v>29</v>
      </c>
      <c r="E19" s="23">
        <v>3100</v>
      </c>
      <c r="F19" s="24">
        <v>76.319999999999993</v>
      </c>
      <c r="G19" s="24">
        <f t="shared" si="2"/>
        <v>236591.99999999997</v>
      </c>
      <c r="H19" s="23">
        <v>3100</v>
      </c>
      <c r="I19" s="25">
        <f t="shared" si="3"/>
        <v>76.319999999999993</v>
      </c>
      <c r="J19" s="24">
        <f t="shared" si="1"/>
        <v>236591.99999999997</v>
      </c>
      <c r="K19" s="23">
        <v>3100</v>
      </c>
      <c r="L19" s="25">
        <f t="shared" si="4"/>
        <v>76.319999999999993</v>
      </c>
      <c r="M19" s="24">
        <f t="shared" si="0"/>
        <v>236591.99999999997</v>
      </c>
      <c r="O19" s="38"/>
    </row>
    <row r="20" spans="1:16" ht="35.25" customHeight="1">
      <c r="A20" s="22">
        <v>10</v>
      </c>
      <c r="B20" s="21" t="s">
        <v>30</v>
      </c>
      <c r="C20" s="22">
        <v>7130830050</v>
      </c>
      <c r="D20" s="20" t="s">
        <v>14</v>
      </c>
      <c r="E20" s="23">
        <v>6</v>
      </c>
      <c r="F20" s="24">
        <v>47.47</v>
      </c>
      <c r="G20" s="24">
        <f t="shared" si="2"/>
        <v>284.82</v>
      </c>
      <c r="H20" s="23">
        <v>6</v>
      </c>
      <c r="I20" s="25">
        <f t="shared" si="3"/>
        <v>47.47</v>
      </c>
      <c r="J20" s="24">
        <f t="shared" si="1"/>
        <v>284.82</v>
      </c>
      <c r="K20" s="23">
        <v>6</v>
      </c>
      <c r="L20" s="25">
        <f t="shared" si="4"/>
        <v>47.47</v>
      </c>
      <c r="M20" s="24">
        <f t="shared" si="0"/>
        <v>284.82</v>
      </c>
      <c r="N20" s="39"/>
      <c r="O20" s="13"/>
    </row>
    <row r="21" spans="1:16" ht="20.25" customHeight="1">
      <c r="A21" s="840">
        <v>11</v>
      </c>
      <c r="B21" s="21" t="s">
        <v>31</v>
      </c>
      <c r="C21" s="22">
        <v>7130860033</v>
      </c>
      <c r="D21" s="20" t="s">
        <v>14</v>
      </c>
      <c r="E21" s="23">
        <v>3</v>
      </c>
      <c r="F21" s="24">
        <v>986.29</v>
      </c>
      <c r="G21" s="24">
        <f t="shared" si="2"/>
        <v>2958.87</v>
      </c>
      <c r="H21" s="23">
        <v>3</v>
      </c>
      <c r="I21" s="25">
        <f t="shared" si="3"/>
        <v>986.29</v>
      </c>
      <c r="J21" s="24">
        <f t="shared" si="1"/>
        <v>2958.87</v>
      </c>
      <c r="K21" s="23">
        <v>3</v>
      </c>
      <c r="L21" s="25">
        <f t="shared" si="4"/>
        <v>986.29</v>
      </c>
      <c r="M21" s="24">
        <f t="shared" si="0"/>
        <v>2958.87</v>
      </c>
    </row>
    <row r="22" spans="1:16" ht="21.75" customHeight="1">
      <c r="A22" s="841"/>
      <c r="B22" s="21" t="s">
        <v>32</v>
      </c>
      <c r="C22" s="22">
        <v>7130810193</v>
      </c>
      <c r="D22" s="20" t="s">
        <v>23</v>
      </c>
      <c r="E22" s="23">
        <v>3</v>
      </c>
      <c r="F22" s="24">
        <f>F14</f>
        <v>403.7</v>
      </c>
      <c r="G22" s="24">
        <f t="shared" si="2"/>
        <v>1211.0999999999999</v>
      </c>
      <c r="H22" s="24"/>
      <c r="I22" s="24"/>
      <c r="J22" s="24"/>
      <c r="K22" s="23">
        <v>3</v>
      </c>
      <c r="L22" s="24">
        <f>F22</f>
        <v>403.7</v>
      </c>
      <c r="M22" s="24">
        <f t="shared" si="0"/>
        <v>1211.0999999999999</v>
      </c>
    </row>
    <row r="23" spans="1:16" ht="20.25" customHeight="1">
      <c r="A23" s="841"/>
      <c r="B23" s="21" t="s">
        <v>33</v>
      </c>
      <c r="C23" s="22">
        <v>7130810692</v>
      </c>
      <c r="D23" s="20" t="s">
        <v>23</v>
      </c>
      <c r="E23" s="23"/>
      <c r="F23" s="24"/>
      <c r="G23" s="24"/>
      <c r="H23" s="23">
        <v>3</v>
      </c>
      <c r="I23" s="25">
        <f>I15</f>
        <v>447.87</v>
      </c>
      <c r="J23" s="24">
        <f t="shared" ref="J23:J30" si="5">I23*H23</f>
        <v>1343.6100000000001</v>
      </c>
      <c r="K23" s="24"/>
      <c r="L23" s="24"/>
      <c r="M23" s="24"/>
    </row>
    <row r="24" spans="1:16" ht="22.5" customHeight="1">
      <c r="A24" s="842"/>
      <c r="B24" s="21" t="s">
        <v>34</v>
      </c>
      <c r="C24" s="22">
        <v>7130860076</v>
      </c>
      <c r="D24" s="20" t="s">
        <v>17</v>
      </c>
      <c r="E24" s="40">
        <v>25.5</v>
      </c>
      <c r="F24" s="24">
        <v>90.68</v>
      </c>
      <c r="G24" s="24">
        <f t="shared" ref="G24:G30" si="6">F24*E24</f>
        <v>2312.34</v>
      </c>
      <c r="H24" s="40">
        <f>+E24</f>
        <v>25.5</v>
      </c>
      <c r="I24" s="25">
        <f>F24</f>
        <v>90.68</v>
      </c>
      <c r="J24" s="24">
        <f t="shared" si="5"/>
        <v>2312.34</v>
      </c>
      <c r="K24" s="40">
        <v>25.5</v>
      </c>
      <c r="L24" s="24">
        <f>F24</f>
        <v>90.68</v>
      </c>
      <c r="M24" s="24">
        <f>K24*L24</f>
        <v>2312.34</v>
      </c>
    </row>
    <row r="25" spans="1:16" ht="80.25" customHeight="1">
      <c r="A25" s="41">
        <v>12</v>
      </c>
      <c r="B25" s="42" t="s">
        <v>35</v>
      </c>
      <c r="C25" s="22">
        <v>7130200202</v>
      </c>
      <c r="D25" s="43" t="s">
        <v>36</v>
      </c>
      <c r="E25" s="44">
        <v>2</v>
      </c>
      <c r="F25" s="24">
        <v>2970</v>
      </c>
      <c r="G25" s="24">
        <f t="shared" si="6"/>
        <v>5940</v>
      </c>
      <c r="H25" s="44">
        <f>(10*0.65)+(5*0.3)</f>
        <v>8</v>
      </c>
      <c r="I25" s="25">
        <f t="shared" ref="I25:I45" si="7">F25</f>
        <v>2970</v>
      </c>
      <c r="J25" s="24">
        <f t="shared" si="5"/>
        <v>23760</v>
      </c>
      <c r="K25" s="44">
        <f>(10*0.55)+(5*0.3)</f>
        <v>7</v>
      </c>
      <c r="L25" s="24">
        <f t="shared" ref="L25:L45" si="8">F25</f>
        <v>2970</v>
      </c>
      <c r="M25" s="24">
        <f>K25*L25</f>
        <v>20790</v>
      </c>
      <c r="N25" s="45" t="s">
        <v>37</v>
      </c>
      <c r="O25" s="46"/>
    </row>
    <row r="26" spans="1:16" ht="17.25" customHeight="1">
      <c r="A26" s="22">
        <v>13</v>
      </c>
      <c r="B26" s="21" t="s">
        <v>38</v>
      </c>
      <c r="C26" s="22">
        <v>7130211158</v>
      </c>
      <c r="D26" s="20" t="s">
        <v>39</v>
      </c>
      <c r="E26" s="40">
        <v>1.4</v>
      </c>
      <c r="F26" s="24">
        <v>181.98</v>
      </c>
      <c r="G26" s="24">
        <f t="shared" si="6"/>
        <v>254.77199999999996</v>
      </c>
      <c r="H26" s="23">
        <v>6</v>
      </c>
      <c r="I26" s="25">
        <f t="shared" si="7"/>
        <v>181.98</v>
      </c>
      <c r="J26" s="24">
        <f t="shared" si="5"/>
        <v>1091.8799999999999</v>
      </c>
      <c r="K26" s="40">
        <v>1.4</v>
      </c>
      <c r="L26" s="24">
        <f t="shared" si="8"/>
        <v>181.98</v>
      </c>
      <c r="M26" s="24">
        <f t="shared" si="0"/>
        <v>254.77199999999996</v>
      </c>
    </row>
    <row r="27" spans="1:16" ht="17.25" customHeight="1">
      <c r="A27" s="22">
        <v>14</v>
      </c>
      <c r="B27" s="21" t="s">
        <v>40</v>
      </c>
      <c r="C27" s="22">
        <v>7130210809</v>
      </c>
      <c r="D27" s="20" t="s">
        <v>39</v>
      </c>
      <c r="E27" s="40">
        <v>1.5</v>
      </c>
      <c r="F27" s="24">
        <v>406.6</v>
      </c>
      <c r="G27" s="24">
        <f t="shared" si="6"/>
        <v>609.90000000000009</v>
      </c>
      <c r="H27" s="23">
        <v>6</v>
      </c>
      <c r="I27" s="25">
        <f t="shared" si="7"/>
        <v>406.6</v>
      </c>
      <c r="J27" s="24">
        <f t="shared" si="5"/>
        <v>2439.6000000000004</v>
      </c>
      <c r="K27" s="40">
        <v>1.5</v>
      </c>
      <c r="L27" s="24">
        <f t="shared" si="8"/>
        <v>406.6</v>
      </c>
      <c r="M27" s="24">
        <f t="shared" si="0"/>
        <v>609.90000000000009</v>
      </c>
    </row>
    <row r="28" spans="1:16" ht="20.25" customHeight="1">
      <c r="A28" s="22">
        <v>15</v>
      </c>
      <c r="B28" s="21" t="s">
        <v>41</v>
      </c>
      <c r="C28" s="22">
        <v>7130610206</v>
      </c>
      <c r="D28" s="20" t="s">
        <v>17</v>
      </c>
      <c r="E28" s="23">
        <v>20</v>
      </c>
      <c r="F28" s="24">
        <v>106.03</v>
      </c>
      <c r="G28" s="24">
        <f t="shared" si="6"/>
        <v>2120.6</v>
      </c>
      <c r="H28" s="23">
        <v>20</v>
      </c>
      <c r="I28" s="25">
        <f t="shared" si="7"/>
        <v>106.03</v>
      </c>
      <c r="J28" s="24">
        <f t="shared" si="5"/>
        <v>2120.6</v>
      </c>
      <c r="K28" s="23">
        <v>20</v>
      </c>
      <c r="L28" s="24">
        <f t="shared" si="8"/>
        <v>106.03</v>
      </c>
      <c r="M28" s="24">
        <f t="shared" si="0"/>
        <v>2120.6</v>
      </c>
      <c r="N28" s="47"/>
      <c r="O28" s="48"/>
      <c r="P28" s="48"/>
    </row>
    <row r="29" spans="1:16" ht="19.5" customHeight="1">
      <c r="A29" s="22">
        <v>16</v>
      </c>
      <c r="B29" s="21" t="s">
        <v>42</v>
      </c>
      <c r="C29" s="22">
        <v>7130880041</v>
      </c>
      <c r="D29" s="20" t="s">
        <v>14</v>
      </c>
      <c r="E29" s="23">
        <v>10</v>
      </c>
      <c r="F29" s="24">
        <v>123.66</v>
      </c>
      <c r="G29" s="24">
        <f t="shared" si="6"/>
        <v>1236.5999999999999</v>
      </c>
      <c r="H29" s="23">
        <v>10</v>
      </c>
      <c r="I29" s="25">
        <f t="shared" si="7"/>
        <v>123.66</v>
      </c>
      <c r="J29" s="24">
        <f t="shared" si="5"/>
        <v>1236.5999999999999</v>
      </c>
      <c r="K29" s="23">
        <v>10</v>
      </c>
      <c r="L29" s="24">
        <f t="shared" si="8"/>
        <v>123.66</v>
      </c>
      <c r="M29" s="24">
        <f>K29*L29</f>
        <v>1236.5999999999999</v>
      </c>
      <c r="O29" s="49"/>
    </row>
    <row r="30" spans="1:16" ht="20.25" customHeight="1">
      <c r="A30" s="22">
        <v>17</v>
      </c>
      <c r="B30" s="21" t="s">
        <v>43</v>
      </c>
      <c r="C30" s="22">
        <v>7130830006</v>
      </c>
      <c r="D30" s="20" t="s">
        <v>17</v>
      </c>
      <c r="E30" s="40">
        <v>3.5</v>
      </c>
      <c r="F30" s="24">
        <v>204.16</v>
      </c>
      <c r="G30" s="24">
        <f t="shared" si="6"/>
        <v>714.56</v>
      </c>
      <c r="H30" s="40">
        <v>3.5</v>
      </c>
      <c r="I30" s="25">
        <f t="shared" si="7"/>
        <v>204.16</v>
      </c>
      <c r="J30" s="24">
        <f t="shared" si="5"/>
        <v>714.56</v>
      </c>
      <c r="K30" s="40">
        <v>3.5</v>
      </c>
      <c r="L30" s="24">
        <f t="shared" si="8"/>
        <v>204.16</v>
      </c>
      <c r="M30" s="24">
        <f t="shared" si="0"/>
        <v>714.56</v>
      </c>
    </row>
    <row r="31" spans="1:16" ht="15.75" customHeight="1">
      <c r="A31" s="840">
        <v>18</v>
      </c>
      <c r="B31" s="21" t="s">
        <v>44</v>
      </c>
      <c r="C31" s="22"/>
      <c r="D31" s="20" t="s">
        <v>17</v>
      </c>
      <c r="E31" s="23">
        <v>17</v>
      </c>
      <c r="F31" s="24"/>
      <c r="G31" s="24"/>
      <c r="H31" s="23">
        <v>17</v>
      </c>
      <c r="I31" s="24"/>
      <c r="J31" s="24"/>
      <c r="K31" s="23">
        <v>18</v>
      </c>
      <c r="L31" s="24"/>
      <c r="M31" s="24"/>
    </row>
    <row r="32" spans="1:16" ht="15" customHeight="1">
      <c r="A32" s="841"/>
      <c r="B32" s="21" t="s">
        <v>45</v>
      </c>
      <c r="C32" s="22">
        <v>7130620614</v>
      </c>
      <c r="D32" s="20" t="s">
        <v>17</v>
      </c>
      <c r="E32" s="23"/>
      <c r="F32" s="24">
        <v>80.39</v>
      </c>
      <c r="G32" s="24"/>
      <c r="H32" s="23">
        <v>7</v>
      </c>
      <c r="I32" s="25">
        <f t="shared" si="7"/>
        <v>80.39</v>
      </c>
      <c r="J32" s="24">
        <f>I32*H32</f>
        <v>562.73</v>
      </c>
      <c r="K32" s="24"/>
      <c r="L32" s="24">
        <f t="shared" si="8"/>
        <v>80.39</v>
      </c>
      <c r="M32" s="24"/>
    </row>
    <row r="33" spans="1:16" ht="15" customHeight="1">
      <c r="A33" s="841"/>
      <c r="B33" s="21" t="s">
        <v>46</v>
      </c>
      <c r="C33" s="22">
        <v>7130620619</v>
      </c>
      <c r="D33" s="20" t="s">
        <v>17</v>
      </c>
      <c r="E33" s="23">
        <v>3</v>
      </c>
      <c r="F33" s="24">
        <v>80.39</v>
      </c>
      <c r="G33" s="24">
        <f>F33*E33</f>
        <v>241.17000000000002</v>
      </c>
      <c r="H33" s="24"/>
      <c r="I33" s="25">
        <f t="shared" si="7"/>
        <v>80.39</v>
      </c>
      <c r="J33" s="26"/>
      <c r="K33" s="40">
        <v>3.5</v>
      </c>
      <c r="L33" s="24">
        <f t="shared" si="8"/>
        <v>80.39</v>
      </c>
      <c r="M33" s="24">
        <f t="shared" si="0"/>
        <v>281.36500000000001</v>
      </c>
    </row>
    <row r="34" spans="1:16" ht="16.5" customHeight="1">
      <c r="A34" s="841"/>
      <c r="B34" s="21" t="s">
        <v>47</v>
      </c>
      <c r="C34" s="22">
        <v>7130620625</v>
      </c>
      <c r="D34" s="20" t="s">
        <v>17</v>
      </c>
      <c r="E34" s="23"/>
      <c r="F34" s="24">
        <v>79.02</v>
      </c>
      <c r="G34" s="24"/>
      <c r="H34" s="23">
        <v>10</v>
      </c>
      <c r="I34" s="25">
        <f t="shared" si="7"/>
        <v>79.02</v>
      </c>
      <c r="J34" s="24">
        <f>I34*H34</f>
        <v>790.19999999999993</v>
      </c>
      <c r="K34" s="40"/>
      <c r="L34" s="24">
        <f t="shared" si="8"/>
        <v>79.02</v>
      </c>
      <c r="M34" s="24"/>
    </row>
    <row r="35" spans="1:16" ht="18.75" customHeight="1">
      <c r="A35" s="842"/>
      <c r="B35" s="21" t="s">
        <v>48</v>
      </c>
      <c r="C35" s="22">
        <v>7130620627</v>
      </c>
      <c r="D35" s="20" t="s">
        <v>17</v>
      </c>
      <c r="E35" s="23">
        <v>14</v>
      </c>
      <c r="F35" s="24">
        <v>79.02</v>
      </c>
      <c r="G35" s="24">
        <f>F35*E35</f>
        <v>1106.28</v>
      </c>
      <c r="H35" s="23"/>
      <c r="I35" s="25">
        <f t="shared" si="7"/>
        <v>79.02</v>
      </c>
      <c r="J35" s="24"/>
      <c r="K35" s="40">
        <v>14.5</v>
      </c>
      <c r="L35" s="24">
        <f t="shared" si="8"/>
        <v>79.02</v>
      </c>
      <c r="M35" s="24">
        <f t="shared" si="0"/>
        <v>1145.79</v>
      </c>
    </row>
    <row r="36" spans="1:16" ht="18.75" customHeight="1">
      <c r="A36" s="840">
        <v>19</v>
      </c>
      <c r="B36" s="21" t="s">
        <v>49</v>
      </c>
      <c r="C36" s="22"/>
      <c r="D36" s="50" t="s">
        <v>50</v>
      </c>
      <c r="E36" s="24"/>
      <c r="F36" s="51"/>
      <c r="G36" s="52">
        <f>SUM(G37:G45)</f>
        <v>15839.319</v>
      </c>
      <c r="H36" s="24"/>
      <c r="I36" s="52"/>
      <c r="J36" s="52">
        <f>SUM(J37:J45)</f>
        <v>15839.319</v>
      </c>
      <c r="K36" s="24"/>
      <c r="L36" s="24"/>
      <c r="M36" s="52">
        <f>SUM(M37:M45)</f>
        <v>15839.319</v>
      </c>
    </row>
    <row r="37" spans="1:16" ht="18.75" customHeight="1">
      <c r="A37" s="841"/>
      <c r="B37" s="21" t="s">
        <v>51</v>
      </c>
      <c r="C37" s="22">
        <v>7130870045</v>
      </c>
      <c r="D37" s="20" t="s">
        <v>17</v>
      </c>
      <c r="E37" s="22">
        <v>49</v>
      </c>
      <c r="F37" s="24">
        <v>87.81</v>
      </c>
      <c r="G37" s="24">
        <f t="shared" ref="G37:G45" si="9">F37*E37</f>
        <v>4302.6900000000005</v>
      </c>
      <c r="H37" s="22">
        <v>49</v>
      </c>
      <c r="I37" s="25">
        <f t="shared" si="7"/>
        <v>87.81</v>
      </c>
      <c r="J37" s="24">
        <f t="shared" ref="J37:J45" si="10">I37*H37</f>
        <v>4302.6900000000005</v>
      </c>
      <c r="K37" s="23">
        <v>49</v>
      </c>
      <c r="L37" s="24">
        <f t="shared" si="8"/>
        <v>87.81</v>
      </c>
      <c r="M37" s="24">
        <f t="shared" si="0"/>
        <v>4302.6900000000005</v>
      </c>
    </row>
    <row r="38" spans="1:16" ht="17.25" customHeight="1">
      <c r="A38" s="841"/>
      <c r="B38" s="21" t="s">
        <v>52</v>
      </c>
      <c r="C38" s="22">
        <v>7130870043</v>
      </c>
      <c r="D38" s="20" t="s">
        <v>17</v>
      </c>
      <c r="E38" s="22">
        <v>20</v>
      </c>
      <c r="F38" s="24">
        <v>87.81</v>
      </c>
      <c r="G38" s="24">
        <f t="shared" si="9"/>
        <v>1756.2</v>
      </c>
      <c r="H38" s="22">
        <v>20</v>
      </c>
      <c r="I38" s="25">
        <f t="shared" si="7"/>
        <v>87.81</v>
      </c>
      <c r="J38" s="24">
        <f t="shared" si="10"/>
        <v>1756.2</v>
      </c>
      <c r="K38" s="23">
        <v>20</v>
      </c>
      <c r="L38" s="24">
        <f t="shared" si="8"/>
        <v>87.81</v>
      </c>
      <c r="M38" s="24">
        <f t="shared" si="0"/>
        <v>1756.2</v>
      </c>
    </row>
    <row r="39" spans="1:16" ht="17.25" customHeight="1">
      <c r="A39" s="841"/>
      <c r="B39" s="21" t="s">
        <v>53</v>
      </c>
      <c r="C39" s="22">
        <v>7130897759</v>
      </c>
      <c r="D39" s="20" t="s">
        <v>54</v>
      </c>
      <c r="E39" s="22">
        <v>1</v>
      </c>
      <c r="F39" s="24">
        <v>4122.2299999999996</v>
      </c>
      <c r="G39" s="24">
        <f t="shared" si="9"/>
        <v>4122.2299999999996</v>
      </c>
      <c r="H39" s="22">
        <v>1</v>
      </c>
      <c r="I39" s="25">
        <f t="shared" si="7"/>
        <v>4122.2299999999996</v>
      </c>
      <c r="J39" s="24">
        <f t="shared" si="10"/>
        <v>4122.2299999999996</v>
      </c>
      <c r="K39" s="23">
        <v>1</v>
      </c>
      <c r="L39" s="24">
        <f t="shared" si="8"/>
        <v>4122.2299999999996</v>
      </c>
      <c r="M39" s="24">
        <f>K39*L39</f>
        <v>4122.2299999999996</v>
      </c>
    </row>
    <row r="40" spans="1:16" ht="18.75" customHeight="1">
      <c r="A40" s="841"/>
      <c r="B40" s="21" t="s">
        <v>55</v>
      </c>
      <c r="C40" s="22">
        <v>7130810692</v>
      </c>
      <c r="D40" s="20" t="s">
        <v>23</v>
      </c>
      <c r="E40" s="22">
        <v>3</v>
      </c>
      <c r="F40" s="24">
        <v>447.87</v>
      </c>
      <c r="G40" s="24">
        <f t="shared" si="9"/>
        <v>1343.6100000000001</v>
      </c>
      <c r="H40" s="22">
        <v>3</v>
      </c>
      <c r="I40" s="25">
        <f t="shared" si="7"/>
        <v>447.87</v>
      </c>
      <c r="J40" s="24">
        <f t="shared" si="10"/>
        <v>1343.6100000000001</v>
      </c>
      <c r="K40" s="23">
        <v>3</v>
      </c>
      <c r="L40" s="24">
        <f t="shared" si="8"/>
        <v>447.87</v>
      </c>
      <c r="M40" s="24">
        <f t="shared" si="0"/>
        <v>1343.6100000000001</v>
      </c>
      <c r="O40" s="53"/>
    </row>
    <row r="41" spans="1:16" ht="19.5" customHeight="1">
      <c r="A41" s="841"/>
      <c r="B41" s="21" t="s">
        <v>56</v>
      </c>
      <c r="C41" s="22">
        <v>7130620625</v>
      </c>
      <c r="D41" s="20" t="s">
        <v>57</v>
      </c>
      <c r="E41" s="40">
        <v>1.2</v>
      </c>
      <c r="F41" s="24">
        <f>F34</f>
        <v>79.02</v>
      </c>
      <c r="G41" s="24">
        <f t="shared" si="9"/>
        <v>94.823999999999998</v>
      </c>
      <c r="H41" s="40">
        <v>1.2</v>
      </c>
      <c r="I41" s="25">
        <f t="shared" si="7"/>
        <v>79.02</v>
      </c>
      <c r="J41" s="24">
        <f t="shared" si="10"/>
        <v>94.823999999999998</v>
      </c>
      <c r="K41" s="40">
        <v>1.2</v>
      </c>
      <c r="L41" s="24">
        <f t="shared" si="8"/>
        <v>79.02</v>
      </c>
      <c r="M41" s="24">
        <f t="shared" si="0"/>
        <v>94.823999999999998</v>
      </c>
    </row>
    <row r="42" spans="1:16" ht="18" customHeight="1">
      <c r="A42" s="841"/>
      <c r="B42" s="21" t="s">
        <v>58</v>
      </c>
      <c r="C42" s="22">
        <v>7130620013</v>
      </c>
      <c r="D42" s="20" t="s">
        <v>14</v>
      </c>
      <c r="E42" s="22">
        <v>4</v>
      </c>
      <c r="F42" s="24">
        <v>146.26</v>
      </c>
      <c r="G42" s="24">
        <f t="shared" si="9"/>
        <v>585.04</v>
      </c>
      <c r="H42" s="22">
        <v>4</v>
      </c>
      <c r="I42" s="25">
        <f t="shared" si="7"/>
        <v>146.26</v>
      </c>
      <c r="J42" s="24">
        <f t="shared" si="10"/>
        <v>585.04</v>
      </c>
      <c r="K42" s="23">
        <v>4</v>
      </c>
      <c r="L42" s="24">
        <f t="shared" si="8"/>
        <v>146.26</v>
      </c>
      <c r="M42" s="24">
        <f t="shared" si="0"/>
        <v>585.04</v>
      </c>
    </row>
    <row r="43" spans="1:16" ht="18" customHeight="1">
      <c r="A43" s="841"/>
      <c r="B43" s="21" t="s">
        <v>59</v>
      </c>
      <c r="C43" s="22">
        <v>7130860033</v>
      </c>
      <c r="D43" s="20" t="s">
        <v>14</v>
      </c>
      <c r="E43" s="22">
        <v>2</v>
      </c>
      <c r="F43" s="24">
        <f>F21</f>
        <v>986.29</v>
      </c>
      <c r="G43" s="24">
        <f t="shared" si="9"/>
        <v>1972.58</v>
      </c>
      <c r="H43" s="22">
        <v>2</v>
      </c>
      <c r="I43" s="25">
        <f t="shared" si="7"/>
        <v>986.29</v>
      </c>
      <c r="J43" s="24">
        <f t="shared" si="10"/>
        <v>1972.58</v>
      </c>
      <c r="K43" s="23">
        <v>2</v>
      </c>
      <c r="L43" s="24">
        <f t="shared" si="8"/>
        <v>986.29</v>
      </c>
      <c r="M43" s="24">
        <f t="shared" si="0"/>
        <v>1972.58</v>
      </c>
    </row>
    <row r="44" spans="1:16" ht="21" customHeight="1">
      <c r="A44" s="841"/>
      <c r="B44" s="21" t="s">
        <v>60</v>
      </c>
      <c r="C44" s="22">
        <v>7130860076</v>
      </c>
      <c r="D44" s="20" t="s">
        <v>17</v>
      </c>
      <c r="E44" s="22">
        <v>17</v>
      </c>
      <c r="F44" s="24">
        <f>F24</f>
        <v>90.68</v>
      </c>
      <c r="G44" s="24">
        <f t="shared" si="9"/>
        <v>1541.5600000000002</v>
      </c>
      <c r="H44" s="22">
        <v>17</v>
      </c>
      <c r="I44" s="25">
        <f t="shared" si="7"/>
        <v>90.68</v>
      </c>
      <c r="J44" s="24">
        <f t="shared" si="10"/>
        <v>1541.5600000000002</v>
      </c>
      <c r="K44" s="23">
        <v>17</v>
      </c>
      <c r="L44" s="24">
        <f t="shared" si="8"/>
        <v>90.68</v>
      </c>
      <c r="M44" s="24">
        <f t="shared" si="0"/>
        <v>1541.5600000000002</v>
      </c>
    </row>
    <row r="45" spans="1:16" ht="18.75" customHeight="1">
      <c r="A45" s="842"/>
      <c r="B45" s="21" t="s">
        <v>61</v>
      </c>
      <c r="C45" s="22">
        <v>7130620619</v>
      </c>
      <c r="D45" s="20" t="s">
        <v>17</v>
      </c>
      <c r="E45" s="22">
        <v>1.5</v>
      </c>
      <c r="F45" s="24">
        <f>F33</f>
        <v>80.39</v>
      </c>
      <c r="G45" s="24">
        <f t="shared" si="9"/>
        <v>120.58500000000001</v>
      </c>
      <c r="H45" s="22">
        <v>1.5</v>
      </c>
      <c r="I45" s="25">
        <f t="shared" si="7"/>
        <v>80.39</v>
      </c>
      <c r="J45" s="24">
        <f t="shared" si="10"/>
        <v>120.58500000000001</v>
      </c>
      <c r="K45" s="40">
        <v>1.5</v>
      </c>
      <c r="L45" s="24">
        <f t="shared" si="8"/>
        <v>80.39</v>
      </c>
      <c r="M45" s="24">
        <f t="shared" si="0"/>
        <v>120.58500000000001</v>
      </c>
    </row>
    <row r="46" spans="1:16" s="59" customFormat="1" ht="31.5">
      <c r="A46" s="54">
        <v>20</v>
      </c>
      <c r="B46" s="55" t="s">
        <v>62</v>
      </c>
      <c r="C46" s="56"/>
      <c r="D46" s="56"/>
      <c r="E46" s="57"/>
      <c r="F46" s="52"/>
      <c r="G46" s="52">
        <f>SUM(G9:G36)</f>
        <v>365309.53099999996</v>
      </c>
      <c r="H46" s="34"/>
      <c r="I46" s="57"/>
      <c r="J46" s="52">
        <f>SUM(J9:J36)</f>
        <v>644793.35899999982</v>
      </c>
      <c r="K46" s="52"/>
      <c r="L46" s="52"/>
      <c r="M46" s="52">
        <f>SUM(M9:M36)</f>
        <v>412292.83599999995</v>
      </c>
      <c r="N46" s="39"/>
      <c r="O46" s="13"/>
      <c r="P46" s="58"/>
    </row>
    <row r="47" spans="1:16" s="59" customFormat="1" ht="31.5">
      <c r="A47" s="54">
        <v>21</v>
      </c>
      <c r="B47" s="55" t="s">
        <v>63</v>
      </c>
      <c r="C47" s="60"/>
      <c r="D47" s="56"/>
      <c r="E47" s="57"/>
      <c r="F47" s="52"/>
      <c r="G47" s="52">
        <f>G46/1.18</f>
        <v>309584.34830508474</v>
      </c>
      <c r="H47" s="33"/>
      <c r="I47" s="57"/>
      <c r="J47" s="52">
        <f>J46/1.18</f>
        <v>546435.04999999993</v>
      </c>
      <c r="K47" s="52"/>
      <c r="L47" s="52"/>
      <c r="M47" s="52">
        <f>M46/1.18</f>
        <v>349400.70847457624</v>
      </c>
      <c r="N47" s="61" t="s">
        <v>64</v>
      </c>
      <c r="O47" s="13"/>
      <c r="P47" s="58"/>
    </row>
    <row r="48" spans="1:16" ht="33" customHeight="1">
      <c r="A48" s="22">
        <v>22</v>
      </c>
      <c r="B48" s="21" t="s">
        <v>65</v>
      </c>
      <c r="C48" s="30"/>
      <c r="D48" s="62"/>
      <c r="E48" s="62"/>
      <c r="F48" s="22">
        <v>7.4999999999999997E-2</v>
      </c>
      <c r="G48" s="24">
        <f>G46*F48</f>
        <v>27398.214824999995</v>
      </c>
      <c r="H48" s="31"/>
      <c r="I48" s="22">
        <v>7.4999999999999997E-2</v>
      </c>
      <c r="J48" s="24">
        <f>J46*I48</f>
        <v>48359.501924999982</v>
      </c>
      <c r="K48" s="24"/>
      <c r="L48" s="63">
        <v>7.4999999999999997E-2</v>
      </c>
      <c r="M48" s="24">
        <f>M46*L48</f>
        <v>30921.962699999996</v>
      </c>
      <c r="N48" s="64" t="s">
        <v>66</v>
      </c>
      <c r="O48" s="13"/>
    </row>
    <row r="49" spans="1:17" ht="35.25" customHeight="1">
      <c r="A49" s="22">
        <v>23</v>
      </c>
      <c r="B49" s="21" t="s">
        <v>67</v>
      </c>
      <c r="C49" s="22"/>
      <c r="D49" s="20" t="s">
        <v>14</v>
      </c>
      <c r="E49" s="23">
        <v>10</v>
      </c>
      <c r="F49" s="662">
        <f>369.772066009089*1.0524*1.055*1.035</f>
        <v>424.92056340744784</v>
      </c>
      <c r="G49" s="24">
        <f>F49*E49</f>
        <v>4249.2056340744784</v>
      </c>
      <c r="H49" s="40">
        <v>0</v>
      </c>
      <c r="I49" s="24">
        <v>0</v>
      </c>
      <c r="J49" s="24">
        <v>0</v>
      </c>
      <c r="K49" s="40">
        <v>0</v>
      </c>
      <c r="L49" s="24">
        <v>0</v>
      </c>
      <c r="M49" s="24">
        <v>0</v>
      </c>
      <c r="N49" s="65"/>
      <c r="O49" s="65"/>
      <c r="Q49" s="66"/>
    </row>
    <row r="50" spans="1:17" s="15" customFormat="1" ht="30.75" customHeight="1">
      <c r="A50" s="22">
        <v>24</v>
      </c>
      <c r="B50" s="21" t="s">
        <v>68</v>
      </c>
      <c r="C50" s="56"/>
      <c r="D50" s="67"/>
      <c r="E50" s="52"/>
      <c r="F50" s="14"/>
      <c r="G50" s="24">
        <v>50221.279999999999</v>
      </c>
      <c r="H50" s="24"/>
      <c r="I50" s="24"/>
      <c r="J50" s="24">
        <v>53419.43</v>
      </c>
      <c r="K50" s="24"/>
      <c r="L50" s="24"/>
      <c r="M50" s="24">
        <v>53771.93</v>
      </c>
      <c r="N50" s="68"/>
      <c r="O50" s="65"/>
    </row>
    <row r="51" spans="1:17" s="15" customFormat="1" ht="20.25" customHeight="1">
      <c r="A51" s="22">
        <v>25</v>
      </c>
      <c r="B51" s="69" t="s">
        <v>69</v>
      </c>
      <c r="C51" s="56"/>
      <c r="D51" s="70" t="s">
        <v>70</v>
      </c>
      <c r="E51" s="44">
        <v>2</v>
      </c>
      <c r="F51" s="663">
        <f>453*1.2778*1.0524*1.055*1.035</f>
        <v>665.17318711315784</v>
      </c>
      <c r="G51" s="24">
        <f>E51*F51</f>
        <v>1330.3463742263157</v>
      </c>
      <c r="H51" s="44">
        <f>(10*0.65)+(5*0.3)</f>
        <v>8</v>
      </c>
      <c r="I51" s="71">
        <f>F51</f>
        <v>665.17318711315784</v>
      </c>
      <c r="J51" s="24">
        <f>H51*I51</f>
        <v>5321.3854969052627</v>
      </c>
      <c r="K51" s="44">
        <f>(10*0.55)+(5*0.3)</f>
        <v>7</v>
      </c>
      <c r="L51" s="71">
        <f>F51</f>
        <v>665.17318711315784</v>
      </c>
      <c r="M51" s="24">
        <f>K51*L51</f>
        <v>4656.2123097921049</v>
      </c>
      <c r="N51" s="72"/>
      <c r="O51" s="65"/>
    </row>
    <row r="52" spans="1:17" ht="64.5" customHeight="1">
      <c r="A52" s="22">
        <v>26</v>
      </c>
      <c r="B52" s="21" t="s">
        <v>423</v>
      </c>
      <c r="C52" s="22"/>
      <c r="D52" s="20"/>
      <c r="E52" s="24"/>
      <c r="F52" s="662"/>
      <c r="G52" s="71">
        <f>G47*0.04</f>
        <v>12383.373932203391</v>
      </c>
      <c r="H52" s="24"/>
      <c r="I52" s="24"/>
      <c r="J52" s="71">
        <f>J47*0.04</f>
        <v>21857.401999999998</v>
      </c>
      <c r="K52" s="24"/>
      <c r="L52" s="24"/>
      <c r="M52" s="71">
        <f>M47*0.04</f>
        <v>13976.028338983049</v>
      </c>
      <c r="N52" s="73"/>
      <c r="O52" s="74"/>
    </row>
    <row r="53" spans="1:17" ht="51.75" customHeight="1">
      <c r="A53" s="22">
        <v>27</v>
      </c>
      <c r="B53" s="21" t="s">
        <v>71</v>
      </c>
      <c r="C53" s="22"/>
      <c r="D53" s="20"/>
      <c r="E53" s="24"/>
      <c r="F53" s="24"/>
      <c r="G53" s="71">
        <f>(G46+G48+G49+G50+G51+G52)*0.125</f>
        <v>57611.493970688018</v>
      </c>
      <c r="H53" s="71"/>
      <c r="I53" s="71"/>
      <c r="J53" s="71">
        <f>(J46+J48+J49+J50+J51+J52)*0.125</f>
        <v>96718.884802738146</v>
      </c>
      <c r="K53" s="71"/>
      <c r="L53" s="71"/>
      <c r="M53" s="71">
        <f>(M46+M48+M49+M50+M51+M52)*0.125</f>
        <v>64452.371168596888</v>
      </c>
      <c r="N53" s="73"/>
      <c r="O53" s="74"/>
    </row>
    <row r="54" spans="1:17" ht="33.75" customHeight="1">
      <c r="A54" s="56">
        <v>28</v>
      </c>
      <c r="B54" s="75" t="s">
        <v>72</v>
      </c>
      <c r="C54" s="22"/>
      <c r="D54" s="20"/>
      <c r="E54" s="24"/>
      <c r="F54" s="24"/>
      <c r="G54" s="52">
        <f>G47+G48+G49+G50+G51+G52+G53</f>
        <v>462778.26304127695</v>
      </c>
      <c r="H54" s="52"/>
      <c r="I54" s="52"/>
      <c r="J54" s="52">
        <f>J47+J48+J49+J50+J51+J52+J53</f>
        <v>772111.65422464348</v>
      </c>
      <c r="K54" s="52"/>
      <c r="L54" s="52"/>
      <c r="M54" s="52">
        <f>M47+M48+M49+M50+M51+M52+M53</f>
        <v>517179.2129919483</v>
      </c>
      <c r="N54" s="76"/>
      <c r="O54" s="77"/>
    </row>
    <row r="55" spans="1:17" ht="18.75" customHeight="1">
      <c r="A55" s="22">
        <v>29</v>
      </c>
      <c r="B55" s="21" t="s">
        <v>73</v>
      </c>
      <c r="C55" s="22"/>
      <c r="D55" s="20"/>
      <c r="E55" s="24"/>
      <c r="F55" s="24">
        <v>0.09</v>
      </c>
      <c r="G55" s="24">
        <f>G54*F55</f>
        <v>41650.043673714921</v>
      </c>
      <c r="H55" s="52"/>
      <c r="I55" s="24">
        <v>0.09</v>
      </c>
      <c r="J55" s="24">
        <f>J54*I55</f>
        <v>69490.048880217917</v>
      </c>
      <c r="K55" s="52"/>
      <c r="L55" s="24">
        <v>0.09</v>
      </c>
      <c r="M55" s="24">
        <f>M54*L55</f>
        <v>46546.129169275344</v>
      </c>
      <c r="N55" s="76"/>
      <c r="O55" s="76"/>
    </row>
    <row r="56" spans="1:17" ht="18.75" customHeight="1">
      <c r="A56" s="22">
        <v>30</v>
      </c>
      <c r="B56" s="21" t="s">
        <v>74</v>
      </c>
      <c r="C56" s="22"/>
      <c r="D56" s="20"/>
      <c r="E56" s="24"/>
      <c r="F56" s="24">
        <v>0.09</v>
      </c>
      <c r="G56" s="24">
        <f>G54*F56</f>
        <v>41650.043673714921</v>
      </c>
      <c r="H56" s="24"/>
      <c r="I56" s="24">
        <v>0.09</v>
      </c>
      <c r="J56" s="24">
        <f>J54*I56</f>
        <v>69490.048880217917</v>
      </c>
      <c r="K56" s="24"/>
      <c r="L56" s="24">
        <v>0.09</v>
      </c>
      <c r="M56" s="24">
        <f>M54*L56</f>
        <v>46546.129169275344</v>
      </c>
      <c r="N56" s="78"/>
      <c r="O56" s="76"/>
    </row>
    <row r="57" spans="1:17" ht="33" customHeight="1">
      <c r="A57" s="22">
        <v>31</v>
      </c>
      <c r="B57" s="21" t="s">
        <v>75</v>
      </c>
      <c r="C57" s="22"/>
      <c r="D57" s="20"/>
      <c r="E57" s="24"/>
      <c r="F57" s="24"/>
      <c r="G57" s="24">
        <f>G54+G55+G56</f>
        <v>546078.35038870678</v>
      </c>
      <c r="H57" s="24"/>
      <c r="I57" s="24"/>
      <c r="J57" s="24">
        <f>J54+J55+J56</f>
        <v>911091.75198507938</v>
      </c>
      <c r="K57" s="24"/>
      <c r="L57" s="24"/>
      <c r="M57" s="24">
        <f>M54+M55+M56</f>
        <v>610271.47133049904</v>
      </c>
    </row>
    <row r="58" spans="1:17" s="15" customFormat="1" ht="37.5" customHeight="1">
      <c r="A58" s="56">
        <v>32</v>
      </c>
      <c r="B58" s="75" t="s">
        <v>76</v>
      </c>
      <c r="C58" s="56"/>
      <c r="D58" s="50"/>
      <c r="E58" s="52"/>
      <c r="F58" s="52"/>
      <c r="G58" s="52">
        <f>ROUND(G57,0)</f>
        <v>546078</v>
      </c>
      <c r="H58" s="52"/>
      <c r="I58" s="52"/>
      <c r="J58" s="52">
        <f>ROUND(J57,0)</f>
        <v>911092</v>
      </c>
      <c r="K58" s="52"/>
      <c r="L58" s="52"/>
      <c r="M58" s="52">
        <f>ROUND(M57,0)</f>
        <v>610271</v>
      </c>
    </row>
    <row r="59" spans="1:17" ht="18.75" customHeight="1">
      <c r="A59" s="843" t="s">
        <v>77</v>
      </c>
      <c r="B59" s="843"/>
      <c r="C59" s="79"/>
      <c r="D59" s="37"/>
      <c r="E59" s="65"/>
      <c r="F59" s="65"/>
      <c r="G59" s="65"/>
      <c r="H59" s="65"/>
      <c r="I59" s="65"/>
      <c r="J59" s="65"/>
      <c r="K59" s="65"/>
      <c r="L59" s="65"/>
      <c r="M59" s="65"/>
    </row>
    <row r="60" spans="1:17" ht="18.75" customHeight="1">
      <c r="A60" s="80">
        <v>1</v>
      </c>
      <c r="B60" s="834" t="s">
        <v>78</v>
      </c>
      <c r="C60" s="834"/>
      <c r="D60" s="834"/>
      <c r="E60" s="834"/>
      <c r="F60" s="834"/>
      <c r="G60" s="834"/>
      <c r="H60" s="834"/>
      <c r="I60" s="834"/>
      <c r="J60" s="834"/>
      <c r="K60" s="81"/>
      <c r="L60" s="81"/>
      <c r="M60" s="81"/>
    </row>
    <row r="61" spans="1:17" ht="16.5" customHeight="1">
      <c r="A61" s="80">
        <v>2</v>
      </c>
      <c r="B61" s="834" t="s">
        <v>79</v>
      </c>
      <c r="C61" s="834"/>
      <c r="D61" s="834"/>
      <c r="E61" s="834"/>
      <c r="F61" s="834"/>
      <c r="G61" s="834"/>
      <c r="H61" s="834"/>
      <c r="I61" s="834"/>
      <c r="J61" s="834"/>
      <c r="K61" s="81"/>
      <c r="L61" s="81"/>
      <c r="M61" s="81"/>
    </row>
    <row r="62" spans="1:17" ht="27.75" customHeight="1">
      <c r="A62" s="82"/>
      <c r="B62" s="83"/>
      <c r="C62" s="83"/>
      <c r="D62" s="83"/>
      <c r="E62" s="83"/>
      <c r="F62" s="83"/>
      <c r="G62" s="84"/>
      <c r="H62" s="85"/>
      <c r="I62" s="85"/>
      <c r="J62" s="85"/>
      <c r="K62" s="85"/>
      <c r="L62" s="85"/>
      <c r="M62" s="85"/>
    </row>
    <row r="63" spans="1:17" ht="17.25" customHeight="1">
      <c r="G63" s="88"/>
      <c r="H63" s="89"/>
      <c r="I63" s="88"/>
      <c r="J63" s="88"/>
      <c r="K63" s="88"/>
      <c r="L63" s="88"/>
      <c r="M63" s="88"/>
    </row>
    <row r="79" spans="14:15">
      <c r="N79" s="87"/>
      <c r="O79" s="87"/>
    </row>
  </sheetData>
  <mergeCells count="17">
    <mergeCell ref="C1:G1"/>
    <mergeCell ref="B3:J3"/>
    <mergeCell ref="A4:J4"/>
    <mergeCell ref="A6:A7"/>
    <mergeCell ref="B6:B7"/>
    <mergeCell ref="C6:C7"/>
    <mergeCell ref="D6:D7"/>
    <mergeCell ref="E6:G6"/>
    <mergeCell ref="H6:J6"/>
    <mergeCell ref="B60:J60"/>
    <mergeCell ref="B61:J61"/>
    <mergeCell ref="K6:M6"/>
    <mergeCell ref="A13:A15"/>
    <mergeCell ref="A21:A24"/>
    <mergeCell ref="A31:A35"/>
    <mergeCell ref="A36:A45"/>
    <mergeCell ref="A59:B59"/>
  </mergeCells>
  <conditionalFormatting sqref="B46">
    <cfRule type="cellIs" dxfId="18" priority="2" stopIfTrue="1" operator="equal">
      <formula>"?"</formula>
    </cfRule>
  </conditionalFormatting>
  <conditionalFormatting sqref="B47">
    <cfRule type="cellIs" dxfId="17" priority="1" stopIfTrue="1" operator="equal">
      <formula>"?"</formula>
    </cfRule>
  </conditionalFormatting>
  <printOptions horizontalCentered="1" gridLines="1"/>
  <pageMargins left="0.68" right="0" top="0.68" bottom="0.38" header="0.51" footer="0"/>
  <pageSetup paperSize="9" scale="90" fitToHeight="3" orientation="landscape" r:id="rId1"/>
  <headerFooter alignWithMargins="0"/>
  <rowBreaks count="2" manualBreakCount="2">
    <brk id="22" max="14" man="1"/>
    <brk id="4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V63"/>
  <sheetViews>
    <sheetView zoomScale="85" zoomScaleNormal="85" zoomScaleSheetLayoutView="75" workbookViewId="0">
      <pane xSplit="2" ySplit="8" topLeftCell="C21" activePane="bottomRight" state="frozen"/>
      <selection pane="topRight" activeCell="C1" sqref="C1"/>
      <selection pane="bottomLeft" activeCell="A9" sqref="A9"/>
      <selection pane="bottomRight" activeCell="F28" sqref="F28"/>
    </sheetView>
  </sheetViews>
  <sheetFormatPr defaultRowHeight="12.75"/>
  <cols>
    <col min="1" max="1" width="4.42578125" style="1" customWidth="1"/>
    <col min="2" max="2" width="43.42578125" style="3" customWidth="1"/>
    <col min="3" max="3" width="14.42578125" style="86" customWidth="1"/>
    <col min="4" max="4" width="5.7109375" style="1" customWidth="1"/>
    <col min="5" max="5" width="6.7109375" style="87" customWidth="1"/>
    <col min="6" max="6" width="14.140625" style="87" bestFit="1" customWidth="1"/>
    <col min="7" max="7" width="12.28515625" style="87" customWidth="1"/>
    <col min="8" max="8" width="6.7109375" style="87" customWidth="1"/>
    <col min="9" max="9" width="11.28515625" style="87" bestFit="1" customWidth="1"/>
    <col min="10" max="10" width="12.28515625" style="87" customWidth="1"/>
    <col min="11" max="11" width="6.5703125" style="3" bestFit="1" customWidth="1"/>
    <col min="12" max="12" width="11.28515625" style="3" bestFit="1" customWidth="1"/>
    <col min="13" max="13" width="12.28515625" style="3" customWidth="1"/>
    <col min="14" max="14" width="22.28515625" style="3" customWidth="1"/>
    <col min="15" max="15" width="16.7109375" style="3" customWidth="1"/>
    <col min="16" max="16384" width="9.140625" style="3"/>
  </cols>
  <sheetData>
    <row r="1" spans="1:14" ht="22.5" customHeight="1">
      <c r="B1" s="678"/>
      <c r="C1" s="851" t="s">
        <v>502</v>
      </c>
      <c r="D1" s="851"/>
      <c r="E1" s="851"/>
      <c r="F1" s="851"/>
      <c r="G1" s="679"/>
      <c r="H1" s="678"/>
      <c r="I1" s="678"/>
      <c r="J1" s="678"/>
    </row>
    <row r="2" spans="1:14" ht="10.5" customHeight="1">
      <c r="B2" s="678"/>
      <c r="C2" s="680"/>
      <c r="D2" s="678"/>
      <c r="E2" s="681"/>
      <c r="F2" s="681"/>
      <c r="G2" s="681"/>
      <c r="H2" s="678"/>
      <c r="I2" s="678"/>
      <c r="J2" s="678"/>
    </row>
    <row r="3" spans="1:14" ht="30.75" customHeight="1">
      <c r="B3" s="852" t="s">
        <v>503</v>
      </c>
      <c r="C3" s="852"/>
      <c r="D3" s="852"/>
      <c r="E3" s="852"/>
      <c r="F3" s="852"/>
      <c r="G3" s="852"/>
      <c r="H3" s="852"/>
      <c r="I3" s="852"/>
      <c r="J3" s="852"/>
    </row>
    <row r="4" spans="1:14" ht="19.5" customHeight="1">
      <c r="A4" s="682"/>
      <c r="B4" s="683"/>
      <c r="C4" s="684"/>
      <c r="D4" s="683"/>
      <c r="E4" s="683"/>
      <c r="F4" s="683"/>
      <c r="G4" s="683"/>
      <c r="H4" s="685"/>
      <c r="I4" s="853" t="s">
        <v>493</v>
      </c>
      <c r="J4" s="853"/>
      <c r="K4" s="686"/>
      <c r="L4" s="686"/>
      <c r="M4" s="686"/>
    </row>
    <row r="5" spans="1:14" ht="9.75" customHeight="1">
      <c r="A5" s="682"/>
      <c r="B5" s="683"/>
      <c r="C5" s="682"/>
      <c r="D5" s="683"/>
      <c r="E5" s="683"/>
      <c r="F5" s="683"/>
      <c r="G5" s="683"/>
      <c r="H5" s="685"/>
      <c r="I5" s="687"/>
      <c r="J5" s="687"/>
    </row>
    <row r="6" spans="1:14" ht="33" customHeight="1">
      <c r="A6" s="847" t="s">
        <v>2</v>
      </c>
      <c r="B6" s="847" t="s">
        <v>3</v>
      </c>
      <c r="C6" s="848" t="s">
        <v>4</v>
      </c>
      <c r="D6" s="847" t="s">
        <v>5</v>
      </c>
      <c r="E6" s="854" t="s">
        <v>6</v>
      </c>
      <c r="F6" s="854"/>
      <c r="G6" s="854"/>
      <c r="H6" s="854" t="s">
        <v>504</v>
      </c>
      <c r="I6" s="854"/>
      <c r="J6" s="854"/>
      <c r="K6" s="854" t="s">
        <v>8</v>
      </c>
      <c r="L6" s="854"/>
      <c r="M6" s="854"/>
    </row>
    <row r="7" spans="1:14" s="15" customFormat="1" ht="17.25" customHeight="1">
      <c r="A7" s="847"/>
      <c r="B7" s="847"/>
      <c r="C7" s="849"/>
      <c r="D7" s="847"/>
      <c r="E7" s="17" t="s">
        <v>9</v>
      </c>
      <c r="F7" s="17" t="s">
        <v>12</v>
      </c>
      <c r="G7" s="688" t="s">
        <v>11</v>
      </c>
      <c r="H7" s="17" t="s">
        <v>9</v>
      </c>
      <c r="I7" s="17" t="s">
        <v>12</v>
      </c>
      <c r="J7" s="688" t="s">
        <v>11</v>
      </c>
      <c r="K7" s="14" t="s">
        <v>9</v>
      </c>
      <c r="L7" s="14" t="s">
        <v>12</v>
      </c>
      <c r="M7" s="14" t="s">
        <v>11</v>
      </c>
    </row>
    <row r="8" spans="1:14" s="15" customFormat="1" ht="15.75">
      <c r="A8" s="677">
        <v>1</v>
      </c>
      <c r="B8" s="677">
        <v>2</v>
      </c>
      <c r="C8" s="17">
        <v>3</v>
      </c>
      <c r="D8" s="677">
        <v>4</v>
      </c>
      <c r="E8" s="18">
        <v>5</v>
      </c>
      <c r="F8" s="18">
        <v>6</v>
      </c>
      <c r="G8" s="18">
        <v>7</v>
      </c>
      <c r="H8" s="18">
        <v>8</v>
      </c>
      <c r="I8" s="18">
        <v>9</v>
      </c>
      <c r="J8" s="18">
        <v>10</v>
      </c>
      <c r="K8" s="18">
        <v>11</v>
      </c>
      <c r="L8" s="18">
        <v>12</v>
      </c>
      <c r="M8" s="18">
        <v>13</v>
      </c>
    </row>
    <row r="9" spans="1:14" ht="18.75" customHeight="1">
      <c r="A9" s="20">
        <v>1</v>
      </c>
      <c r="B9" s="21" t="s">
        <v>13</v>
      </c>
      <c r="C9" s="22">
        <v>7130800033</v>
      </c>
      <c r="D9" s="20" t="s">
        <v>14</v>
      </c>
      <c r="E9" s="23">
        <v>10</v>
      </c>
      <c r="F9" s="24">
        <v>4451.53</v>
      </c>
      <c r="G9" s="24">
        <f>F9*E9</f>
        <v>44515.299999999996</v>
      </c>
      <c r="H9" s="24"/>
      <c r="I9" s="24"/>
      <c r="J9" s="24"/>
      <c r="K9" s="689"/>
      <c r="L9" s="689"/>
      <c r="M9" s="689"/>
    </row>
    <row r="10" spans="1:14" ht="36" customHeight="1">
      <c r="A10" s="22">
        <v>2</v>
      </c>
      <c r="B10" s="21" t="s">
        <v>505</v>
      </c>
      <c r="C10" s="22">
        <v>7130601958</v>
      </c>
      <c r="D10" s="20" t="s">
        <v>17</v>
      </c>
      <c r="E10" s="23"/>
      <c r="F10" s="24"/>
      <c r="G10" s="24"/>
      <c r="H10" s="23">
        <v>4823</v>
      </c>
      <c r="I10" s="25">
        <v>62.81</v>
      </c>
      <c r="J10" s="24">
        <f>I10*H10</f>
        <v>302932.63</v>
      </c>
      <c r="K10" s="689"/>
      <c r="L10" s="689"/>
      <c r="M10" s="689"/>
    </row>
    <row r="11" spans="1:14" ht="20.25" customHeight="1">
      <c r="A11" s="22">
        <v>3</v>
      </c>
      <c r="B11" s="21" t="s">
        <v>19</v>
      </c>
      <c r="C11" s="22">
        <v>7130800002</v>
      </c>
      <c r="D11" s="20" t="s">
        <v>14</v>
      </c>
      <c r="E11" s="23"/>
      <c r="F11" s="24"/>
      <c r="G11" s="24"/>
      <c r="H11" s="23"/>
      <c r="I11" s="25"/>
      <c r="J11" s="24"/>
      <c r="K11" s="690">
        <v>10</v>
      </c>
      <c r="L11" s="26">
        <v>7656.89</v>
      </c>
      <c r="M11" s="25">
        <f>K11*L11</f>
        <v>76568.900000000009</v>
      </c>
      <c r="N11" s="84"/>
    </row>
    <row r="12" spans="1:14" ht="18.75" customHeight="1">
      <c r="A12" s="22">
        <v>4</v>
      </c>
      <c r="B12" s="21" t="s">
        <v>20</v>
      </c>
      <c r="C12" s="22">
        <v>7130810595</v>
      </c>
      <c r="D12" s="20" t="s">
        <v>14</v>
      </c>
      <c r="E12" s="23">
        <v>10</v>
      </c>
      <c r="F12" s="26">
        <v>2899.86</v>
      </c>
      <c r="G12" s="24">
        <f t="shared" ref="G12:G22" si="0">F12*E12</f>
        <v>28998.600000000002</v>
      </c>
      <c r="H12" s="23">
        <v>10</v>
      </c>
      <c r="I12" s="25">
        <f>F12</f>
        <v>2899.86</v>
      </c>
      <c r="J12" s="24">
        <f>I12*H12</f>
        <v>28998.600000000002</v>
      </c>
      <c r="K12" s="690">
        <v>10</v>
      </c>
      <c r="L12" s="25">
        <f>F12</f>
        <v>2899.86</v>
      </c>
      <c r="M12" s="25">
        <f t="shared" ref="M12:M46" si="1">K12*L12</f>
        <v>28998.600000000002</v>
      </c>
    </row>
    <row r="13" spans="1:14" ht="18" customHeight="1">
      <c r="A13" s="838">
        <v>5</v>
      </c>
      <c r="B13" s="21" t="s">
        <v>21</v>
      </c>
      <c r="C13" s="30"/>
      <c r="D13" s="30"/>
      <c r="E13" s="31"/>
      <c r="F13" s="31"/>
      <c r="G13" s="31"/>
      <c r="H13" s="31"/>
      <c r="I13" s="31"/>
      <c r="J13" s="691"/>
      <c r="K13" s="690"/>
      <c r="L13" s="25"/>
      <c r="M13" s="25"/>
    </row>
    <row r="14" spans="1:14" ht="17.25" customHeight="1">
      <c r="A14" s="839"/>
      <c r="B14" s="692" t="s">
        <v>506</v>
      </c>
      <c r="C14" s="693">
        <v>7130810193</v>
      </c>
      <c r="D14" s="694" t="s">
        <v>23</v>
      </c>
      <c r="E14" s="695">
        <v>10</v>
      </c>
      <c r="F14" s="36">
        <v>403.7</v>
      </c>
      <c r="G14" s="696">
        <f t="shared" si="0"/>
        <v>4037</v>
      </c>
      <c r="H14" s="695"/>
      <c r="I14" s="696"/>
      <c r="J14" s="696"/>
      <c r="K14" s="697">
        <v>10</v>
      </c>
      <c r="L14" s="698">
        <f>F14</f>
        <v>403.7</v>
      </c>
      <c r="M14" s="698">
        <f t="shared" si="1"/>
        <v>4037</v>
      </c>
    </row>
    <row r="15" spans="1:14" ht="16.5" customHeight="1">
      <c r="A15" s="839"/>
      <c r="B15" s="21" t="s">
        <v>507</v>
      </c>
      <c r="C15" s="22">
        <v>7130810692</v>
      </c>
      <c r="D15" s="20" t="s">
        <v>23</v>
      </c>
      <c r="E15" s="23"/>
      <c r="F15" s="24"/>
      <c r="G15" s="24"/>
      <c r="H15" s="23">
        <v>10</v>
      </c>
      <c r="I15" s="25">
        <v>447.87</v>
      </c>
      <c r="J15" s="24">
        <f>I15*H15</f>
        <v>4478.7</v>
      </c>
      <c r="K15" s="25"/>
      <c r="L15" s="25"/>
      <c r="M15" s="25"/>
    </row>
    <row r="16" spans="1:14" ht="18" customHeight="1">
      <c r="A16" s="22">
        <v>6</v>
      </c>
      <c r="B16" s="21" t="s">
        <v>25</v>
      </c>
      <c r="C16" s="22">
        <v>7130810676</v>
      </c>
      <c r="D16" s="20" t="s">
        <v>14</v>
      </c>
      <c r="E16" s="23">
        <v>10</v>
      </c>
      <c r="F16" s="24">
        <v>482.48</v>
      </c>
      <c r="G16" s="24">
        <f t="shared" si="0"/>
        <v>4824.8</v>
      </c>
      <c r="H16" s="23">
        <v>10</v>
      </c>
      <c r="I16" s="25">
        <f>F16</f>
        <v>482.48</v>
      </c>
      <c r="J16" s="24">
        <f t="shared" ref="J16:J21" si="2">I16*H16</f>
        <v>4824.8</v>
      </c>
      <c r="K16" s="690">
        <v>10</v>
      </c>
      <c r="L16" s="25">
        <f>F16</f>
        <v>482.48</v>
      </c>
      <c r="M16" s="25">
        <f t="shared" si="1"/>
        <v>4824.8</v>
      </c>
    </row>
    <row r="17" spans="1:17" ht="34.5" customHeight="1">
      <c r="A17" s="22">
        <v>7</v>
      </c>
      <c r="B17" s="21" t="s">
        <v>26</v>
      </c>
      <c r="C17" s="22">
        <v>7130870013</v>
      </c>
      <c r="D17" s="20" t="s">
        <v>14</v>
      </c>
      <c r="E17" s="23">
        <v>10</v>
      </c>
      <c r="F17" s="24">
        <v>149.30000000000001</v>
      </c>
      <c r="G17" s="24">
        <f t="shared" si="0"/>
        <v>1493</v>
      </c>
      <c r="H17" s="23">
        <v>10</v>
      </c>
      <c r="I17" s="25">
        <f t="shared" ref="I17:I21" si="3">F17</f>
        <v>149.30000000000001</v>
      </c>
      <c r="J17" s="24">
        <f t="shared" si="2"/>
        <v>1493</v>
      </c>
      <c r="K17" s="690">
        <v>10</v>
      </c>
      <c r="L17" s="25">
        <f t="shared" ref="L17:L22" si="4">F17</f>
        <v>149.30000000000001</v>
      </c>
      <c r="M17" s="25">
        <f t="shared" si="1"/>
        <v>1493</v>
      </c>
    </row>
    <row r="18" spans="1:17" ht="20.25" customHeight="1">
      <c r="A18" s="22">
        <v>8</v>
      </c>
      <c r="B18" s="21" t="s">
        <v>27</v>
      </c>
      <c r="C18" s="22">
        <v>7130820009</v>
      </c>
      <c r="D18" s="20" t="s">
        <v>14</v>
      </c>
      <c r="E18" s="23">
        <v>30</v>
      </c>
      <c r="F18" s="24">
        <v>333.95</v>
      </c>
      <c r="G18" s="24">
        <f t="shared" si="0"/>
        <v>10018.5</v>
      </c>
      <c r="H18" s="23">
        <v>30</v>
      </c>
      <c r="I18" s="25">
        <f t="shared" si="3"/>
        <v>333.95</v>
      </c>
      <c r="J18" s="24">
        <f t="shared" si="2"/>
        <v>10018.5</v>
      </c>
      <c r="K18" s="690">
        <v>30</v>
      </c>
      <c r="L18" s="25">
        <f t="shared" si="4"/>
        <v>333.95</v>
      </c>
      <c r="M18" s="25">
        <f t="shared" si="1"/>
        <v>10018.5</v>
      </c>
      <c r="N18" s="48"/>
      <c r="O18" s="39"/>
    </row>
    <row r="19" spans="1:17" ht="34.5" customHeight="1">
      <c r="A19" s="22">
        <v>9</v>
      </c>
      <c r="B19" s="21" t="s">
        <v>508</v>
      </c>
      <c r="C19" s="22">
        <v>7130830063</v>
      </c>
      <c r="D19" s="20" t="s">
        <v>29</v>
      </c>
      <c r="E19" s="23">
        <v>3100</v>
      </c>
      <c r="F19" s="24">
        <v>76.319999999999993</v>
      </c>
      <c r="G19" s="24">
        <f>E19*F19</f>
        <v>236591.99999999997</v>
      </c>
      <c r="H19" s="23">
        <v>3100</v>
      </c>
      <c r="I19" s="25">
        <f t="shared" si="3"/>
        <v>76.319999999999993</v>
      </c>
      <c r="J19" s="24">
        <f t="shared" si="2"/>
        <v>236591.99999999997</v>
      </c>
      <c r="K19" s="690">
        <v>3100</v>
      </c>
      <c r="L19" s="25">
        <f t="shared" si="4"/>
        <v>76.319999999999993</v>
      </c>
      <c r="M19" s="25">
        <f t="shared" si="1"/>
        <v>236591.99999999997</v>
      </c>
    </row>
    <row r="20" spans="1:17" ht="33.75" customHeight="1">
      <c r="A20" s="22">
        <v>10</v>
      </c>
      <c r="B20" s="21" t="s">
        <v>509</v>
      </c>
      <c r="C20" s="22">
        <v>7130830051</v>
      </c>
      <c r="D20" s="20" t="s">
        <v>14</v>
      </c>
      <c r="E20" s="23">
        <v>6</v>
      </c>
      <c r="F20" s="24">
        <v>47.47</v>
      </c>
      <c r="G20" s="24">
        <f t="shared" si="0"/>
        <v>284.82</v>
      </c>
      <c r="H20" s="23">
        <v>6</v>
      </c>
      <c r="I20" s="25">
        <f t="shared" si="3"/>
        <v>47.47</v>
      </c>
      <c r="J20" s="24">
        <f t="shared" si="2"/>
        <v>284.82</v>
      </c>
      <c r="K20" s="690">
        <v>6</v>
      </c>
      <c r="L20" s="25">
        <f t="shared" si="4"/>
        <v>47.47</v>
      </c>
      <c r="M20" s="25">
        <f t="shared" si="1"/>
        <v>284.82</v>
      </c>
    </row>
    <row r="21" spans="1:17" ht="18.75" customHeight="1">
      <c r="A21" s="22">
        <v>11</v>
      </c>
      <c r="B21" s="21" t="s">
        <v>510</v>
      </c>
      <c r="C21" s="22">
        <v>7130860033</v>
      </c>
      <c r="D21" s="20" t="s">
        <v>14</v>
      </c>
      <c r="E21" s="23">
        <v>3</v>
      </c>
      <c r="F21" s="24">
        <v>986.29</v>
      </c>
      <c r="G21" s="24">
        <f t="shared" si="0"/>
        <v>2958.87</v>
      </c>
      <c r="H21" s="23">
        <v>3</v>
      </c>
      <c r="I21" s="25">
        <f t="shared" si="3"/>
        <v>986.29</v>
      </c>
      <c r="J21" s="24">
        <f t="shared" si="2"/>
        <v>2958.87</v>
      </c>
      <c r="K21" s="690">
        <v>3</v>
      </c>
      <c r="L21" s="25">
        <f t="shared" si="4"/>
        <v>986.29</v>
      </c>
      <c r="M21" s="25">
        <f t="shared" si="1"/>
        <v>2958.87</v>
      </c>
    </row>
    <row r="22" spans="1:17" ht="18.75" customHeight="1">
      <c r="A22" s="839">
        <v>12</v>
      </c>
      <c r="B22" s="692" t="s">
        <v>22</v>
      </c>
      <c r="C22" s="693">
        <v>7130810193</v>
      </c>
      <c r="D22" s="694" t="s">
        <v>23</v>
      </c>
      <c r="E22" s="695">
        <v>3</v>
      </c>
      <c r="F22" s="24">
        <f>F14</f>
        <v>403.7</v>
      </c>
      <c r="G22" s="696">
        <f t="shared" si="0"/>
        <v>1211.0999999999999</v>
      </c>
      <c r="H22" s="695"/>
      <c r="I22" s="696"/>
      <c r="J22" s="696"/>
      <c r="K22" s="697">
        <v>3</v>
      </c>
      <c r="L22" s="25">
        <f t="shared" si="4"/>
        <v>403.7</v>
      </c>
      <c r="M22" s="698">
        <f t="shared" si="1"/>
        <v>1211.0999999999999</v>
      </c>
    </row>
    <row r="23" spans="1:17" ht="18.75" customHeight="1">
      <c r="A23" s="839"/>
      <c r="B23" s="21" t="s">
        <v>24</v>
      </c>
      <c r="C23" s="22">
        <v>7130810692</v>
      </c>
      <c r="D23" s="20" t="s">
        <v>23</v>
      </c>
      <c r="E23" s="24"/>
      <c r="F23" s="24"/>
      <c r="G23" s="24"/>
      <c r="H23" s="23">
        <v>3</v>
      </c>
      <c r="I23" s="25">
        <f>I15</f>
        <v>447.87</v>
      </c>
      <c r="J23" s="24">
        <f>I23*H23</f>
        <v>1343.6100000000001</v>
      </c>
      <c r="K23" s="25"/>
      <c r="L23" s="25"/>
      <c r="M23" s="25"/>
    </row>
    <row r="24" spans="1:17" ht="21.75" customHeight="1">
      <c r="A24" s="22">
        <v>13</v>
      </c>
      <c r="B24" s="21" t="s">
        <v>511</v>
      </c>
      <c r="C24" s="22">
        <v>7130860076</v>
      </c>
      <c r="D24" s="20" t="s">
        <v>17</v>
      </c>
      <c r="E24" s="40">
        <v>25.5</v>
      </c>
      <c r="F24" s="24">
        <v>90.68</v>
      </c>
      <c r="G24" s="24">
        <f>F24*E24</f>
        <v>2312.34</v>
      </c>
      <c r="H24" s="40">
        <v>25.5</v>
      </c>
      <c r="I24" s="25">
        <f>F24</f>
        <v>90.68</v>
      </c>
      <c r="J24" s="24">
        <f>I24*H24</f>
        <v>2312.34</v>
      </c>
      <c r="K24" s="699">
        <v>25.5</v>
      </c>
      <c r="L24" s="25">
        <f>F24</f>
        <v>90.68</v>
      </c>
      <c r="M24" s="25">
        <f t="shared" si="1"/>
        <v>2312.34</v>
      </c>
    </row>
    <row r="25" spans="1:17" ht="69.75" customHeight="1">
      <c r="A25" s="22">
        <v>14</v>
      </c>
      <c r="B25" s="21" t="s">
        <v>512</v>
      </c>
      <c r="C25" s="22">
        <v>7130200202</v>
      </c>
      <c r="D25" s="20" t="s">
        <v>70</v>
      </c>
      <c r="E25" s="40">
        <f>(0.05*10)+(5*0.3)</f>
        <v>2</v>
      </c>
      <c r="F25" s="24">
        <v>2970</v>
      </c>
      <c r="G25" s="24">
        <f>E25*F25</f>
        <v>5940</v>
      </c>
      <c r="H25" s="40">
        <f>(0.65*10)+(5*0.3)</f>
        <v>8</v>
      </c>
      <c r="I25" s="25">
        <f t="shared" ref="I25:I30" si="5">F25</f>
        <v>2970</v>
      </c>
      <c r="J25" s="24">
        <f>H25*I25</f>
        <v>23760</v>
      </c>
      <c r="K25" s="40">
        <f>(0.55*10)+(5*0.3)</f>
        <v>7</v>
      </c>
      <c r="L25" s="25">
        <f t="shared" ref="L25:L30" si="6">F25</f>
        <v>2970</v>
      </c>
      <c r="M25" s="25">
        <f>K25*L25</f>
        <v>20790</v>
      </c>
      <c r="N25" s="700" t="s">
        <v>37</v>
      </c>
    </row>
    <row r="26" spans="1:17" ht="18.75" customHeight="1">
      <c r="A26" s="22">
        <v>15</v>
      </c>
      <c r="B26" s="21" t="s">
        <v>38</v>
      </c>
      <c r="C26" s="22">
        <v>7130211158</v>
      </c>
      <c r="D26" s="20" t="s">
        <v>39</v>
      </c>
      <c r="E26" s="40">
        <v>1.4</v>
      </c>
      <c r="F26" s="24">
        <v>181.98</v>
      </c>
      <c r="G26" s="24">
        <f>F26*E26</f>
        <v>254.77199999999996</v>
      </c>
      <c r="H26" s="23">
        <v>6</v>
      </c>
      <c r="I26" s="25">
        <f t="shared" si="5"/>
        <v>181.98</v>
      </c>
      <c r="J26" s="24">
        <f>I26*H26</f>
        <v>1091.8799999999999</v>
      </c>
      <c r="K26" s="699">
        <v>1.4</v>
      </c>
      <c r="L26" s="25">
        <f t="shared" si="6"/>
        <v>181.98</v>
      </c>
      <c r="M26" s="25">
        <f t="shared" si="1"/>
        <v>254.77199999999996</v>
      </c>
    </row>
    <row r="27" spans="1:17" ht="18.75" customHeight="1">
      <c r="A27" s="22">
        <v>16</v>
      </c>
      <c r="B27" s="21" t="s">
        <v>40</v>
      </c>
      <c r="C27" s="22">
        <v>7130210809</v>
      </c>
      <c r="D27" s="20" t="s">
        <v>39</v>
      </c>
      <c r="E27" s="40">
        <v>1.5</v>
      </c>
      <c r="F27" s="24">
        <v>406.6</v>
      </c>
      <c r="G27" s="24">
        <f>F27*E27</f>
        <v>609.90000000000009</v>
      </c>
      <c r="H27" s="23">
        <v>6</v>
      </c>
      <c r="I27" s="25">
        <f t="shared" si="5"/>
        <v>406.6</v>
      </c>
      <c r="J27" s="24">
        <f>I27*H27</f>
        <v>2439.6000000000004</v>
      </c>
      <c r="K27" s="699">
        <v>1.5</v>
      </c>
      <c r="L27" s="25">
        <f t="shared" si="6"/>
        <v>406.6</v>
      </c>
      <c r="M27" s="25">
        <f t="shared" si="1"/>
        <v>609.90000000000009</v>
      </c>
    </row>
    <row r="28" spans="1:17" ht="18.75" customHeight="1">
      <c r="A28" s="22">
        <v>17</v>
      </c>
      <c r="B28" s="21" t="s">
        <v>41</v>
      </c>
      <c r="C28" s="22">
        <v>7130610206</v>
      </c>
      <c r="D28" s="20" t="s">
        <v>17</v>
      </c>
      <c r="E28" s="23">
        <v>20</v>
      </c>
      <c r="F28" s="24">
        <v>106.03</v>
      </c>
      <c r="G28" s="24">
        <f>F28*E28</f>
        <v>2120.6</v>
      </c>
      <c r="H28" s="23">
        <v>20</v>
      </c>
      <c r="I28" s="25">
        <f t="shared" si="5"/>
        <v>106.03</v>
      </c>
      <c r="J28" s="24">
        <f>I28*H28</f>
        <v>2120.6</v>
      </c>
      <c r="K28" s="690">
        <v>20</v>
      </c>
      <c r="L28" s="25">
        <f t="shared" si="6"/>
        <v>106.03</v>
      </c>
      <c r="M28" s="25">
        <f t="shared" si="1"/>
        <v>2120.6</v>
      </c>
      <c r="N28" s="701"/>
      <c r="O28" s="48"/>
      <c r="P28" s="48"/>
      <c r="Q28" s="48"/>
    </row>
    <row r="29" spans="1:17" ht="18.75" customHeight="1">
      <c r="A29" s="22">
        <v>18</v>
      </c>
      <c r="B29" s="21" t="s">
        <v>513</v>
      </c>
      <c r="C29" s="22">
        <v>7130880041</v>
      </c>
      <c r="D29" s="20" t="s">
        <v>14</v>
      </c>
      <c r="E29" s="23">
        <v>10</v>
      </c>
      <c r="F29" s="24">
        <v>123.66</v>
      </c>
      <c r="G29" s="24">
        <f>F29*E29</f>
        <v>1236.5999999999999</v>
      </c>
      <c r="H29" s="23">
        <v>10</v>
      </c>
      <c r="I29" s="25">
        <f t="shared" si="5"/>
        <v>123.66</v>
      </c>
      <c r="J29" s="24">
        <f>I29*H29</f>
        <v>1236.5999999999999</v>
      </c>
      <c r="K29" s="690">
        <v>10</v>
      </c>
      <c r="L29" s="25">
        <f t="shared" si="6"/>
        <v>123.66</v>
      </c>
      <c r="M29" s="25">
        <f t="shared" si="1"/>
        <v>1236.5999999999999</v>
      </c>
    </row>
    <row r="30" spans="1:17" ht="18.75" customHeight="1">
      <c r="A30" s="22">
        <v>19</v>
      </c>
      <c r="B30" s="21" t="s">
        <v>514</v>
      </c>
      <c r="C30" s="22">
        <v>7130830006</v>
      </c>
      <c r="D30" s="20" t="s">
        <v>17</v>
      </c>
      <c r="E30" s="40">
        <v>3.5</v>
      </c>
      <c r="F30" s="24">
        <v>204.16</v>
      </c>
      <c r="G30" s="24">
        <f>F30*E30</f>
        <v>714.56</v>
      </c>
      <c r="H30" s="40">
        <v>3.5</v>
      </c>
      <c r="I30" s="25">
        <f t="shared" si="5"/>
        <v>204.16</v>
      </c>
      <c r="J30" s="24">
        <f>I30*H30</f>
        <v>714.56</v>
      </c>
      <c r="K30" s="699">
        <v>3.5</v>
      </c>
      <c r="L30" s="25">
        <f t="shared" si="6"/>
        <v>204.16</v>
      </c>
      <c r="M30" s="25">
        <f t="shared" si="1"/>
        <v>714.56</v>
      </c>
    </row>
    <row r="31" spans="1:17" ht="17.25" customHeight="1">
      <c r="A31" s="838">
        <v>20</v>
      </c>
      <c r="B31" s="75" t="s">
        <v>44</v>
      </c>
      <c r="C31" s="22"/>
      <c r="D31" s="20" t="s">
        <v>17</v>
      </c>
      <c r="E31" s="23">
        <v>18</v>
      </c>
      <c r="F31" s="24"/>
      <c r="G31" s="24"/>
      <c r="H31" s="23">
        <v>18</v>
      </c>
      <c r="I31" s="24"/>
      <c r="J31" s="24"/>
      <c r="K31" s="690">
        <v>18</v>
      </c>
      <c r="L31" s="25"/>
      <c r="M31" s="25"/>
    </row>
    <row r="32" spans="1:17" ht="17.25" customHeight="1">
      <c r="A32" s="856"/>
      <c r="B32" s="21" t="s">
        <v>515</v>
      </c>
      <c r="C32" s="22">
        <v>7130620609</v>
      </c>
      <c r="D32" s="20" t="s">
        <v>17</v>
      </c>
      <c r="E32" s="24"/>
      <c r="F32" s="24">
        <v>81.75</v>
      </c>
      <c r="G32" s="24"/>
      <c r="H32" s="40">
        <v>0.5</v>
      </c>
      <c r="I32" s="25">
        <f>F32</f>
        <v>81.75</v>
      </c>
      <c r="J32" s="24">
        <f>I32*H32</f>
        <v>40.875</v>
      </c>
      <c r="K32" s="25"/>
      <c r="L32" s="25">
        <f>F32</f>
        <v>81.75</v>
      </c>
      <c r="M32" s="25"/>
    </row>
    <row r="33" spans="1:256" ht="17.25" customHeight="1">
      <c r="A33" s="856"/>
      <c r="B33" s="21" t="s">
        <v>45</v>
      </c>
      <c r="C33" s="22">
        <v>7130620614</v>
      </c>
      <c r="D33" s="20" t="s">
        <v>17</v>
      </c>
      <c r="E33" s="24"/>
      <c r="F33" s="24">
        <v>80.39</v>
      </c>
      <c r="G33" s="24"/>
      <c r="H33" s="40">
        <v>7.5</v>
      </c>
      <c r="I33" s="25">
        <f t="shared" ref="I33:I46" si="7">F33</f>
        <v>80.39</v>
      </c>
      <c r="J33" s="24">
        <f>I33*H33</f>
        <v>602.92499999999995</v>
      </c>
      <c r="K33" s="25"/>
      <c r="L33" s="25">
        <f t="shared" ref="L33:L46" si="8">F33</f>
        <v>80.39</v>
      </c>
      <c r="M33" s="25"/>
    </row>
    <row r="34" spans="1:256" ht="17.25" customHeight="1">
      <c r="A34" s="856"/>
      <c r="B34" s="21" t="s">
        <v>46</v>
      </c>
      <c r="C34" s="22">
        <v>7130620619</v>
      </c>
      <c r="D34" s="20" t="s">
        <v>17</v>
      </c>
      <c r="E34" s="40">
        <v>3.5</v>
      </c>
      <c r="F34" s="24">
        <v>80.39</v>
      </c>
      <c r="G34" s="24">
        <f>F34*E34</f>
        <v>281.36500000000001</v>
      </c>
      <c r="H34" s="24"/>
      <c r="I34" s="25">
        <f t="shared" si="7"/>
        <v>80.39</v>
      </c>
      <c r="J34" s="24"/>
      <c r="K34" s="699">
        <v>3.5</v>
      </c>
      <c r="L34" s="25">
        <f t="shared" si="8"/>
        <v>80.39</v>
      </c>
      <c r="M34" s="25">
        <f t="shared" si="1"/>
        <v>281.36500000000001</v>
      </c>
    </row>
    <row r="35" spans="1:256" ht="17.25" customHeight="1">
      <c r="A35" s="856"/>
      <c r="B35" s="21" t="s">
        <v>47</v>
      </c>
      <c r="C35" s="22">
        <v>7130620625</v>
      </c>
      <c r="D35" s="20" t="s">
        <v>17</v>
      </c>
      <c r="E35" s="24"/>
      <c r="F35" s="24">
        <v>79.02</v>
      </c>
      <c r="G35" s="24"/>
      <c r="H35" s="23">
        <v>10</v>
      </c>
      <c r="I35" s="25">
        <f t="shared" si="7"/>
        <v>79.02</v>
      </c>
      <c r="J35" s="24">
        <f>I35*H35</f>
        <v>790.19999999999993</v>
      </c>
      <c r="K35" s="699"/>
      <c r="L35" s="25">
        <f t="shared" si="8"/>
        <v>79.02</v>
      </c>
      <c r="M35" s="25"/>
    </row>
    <row r="36" spans="1:256" ht="17.25" customHeight="1">
      <c r="A36" s="857"/>
      <c r="B36" s="21" t="s">
        <v>48</v>
      </c>
      <c r="C36" s="22">
        <v>7130620627</v>
      </c>
      <c r="D36" s="20" t="s">
        <v>17</v>
      </c>
      <c r="E36" s="40">
        <v>14.5</v>
      </c>
      <c r="F36" s="24">
        <v>79.02</v>
      </c>
      <c r="G36" s="24">
        <f>F36*E36</f>
        <v>1145.79</v>
      </c>
      <c r="H36" s="24"/>
      <c r="I36" s="25">
        <f t="shared" si="7"/>
        <v>79.02</v>
      </c>
      <c r="J36" s="26"/>
      <c r="K36" s="699">
        <v>14.5</v>
      </c>
      <c r="L36" s="25">
        <f t="shared" si="8"/>
        <v>79.02</v>
      </c>
      <c r="M36" s="25">
        <f t="shared" si="1"/>
        <v>1145.79</v>
      </c>
    </row>
    <row r="37" spans="1:256" ht="17.25" customHeight="1">
      <c r="A37" s="838">
        <v>21</v>
      </c>
      <c r="B37" s="75" t="s">
        <v>516</v>
      </c>
      <c r="C37" s="22"/>
      <c r="D37" s="20"/>
      <c r="E37" s="20"/>
      <c r="F37" s="52">
        <f>G38+G39+G40+G41+G42+G43+G44+G45+G46</f>
        <v>63622.578999999998</v>
      </c>
      <c r="G37" s="702"/>
      <c r="H37" s="702"/>
      <c r="I37" s="52">
        <f>J38+J39+J40+J41+J42+J43+J44+J45+J46</f>
        <v>63622.578999999998</v>
      </c>
      <c r="J37" s="703"/>
      <c r="K37" s="704"/>
      <c r="L37" s="52">
        <f>M38+M39+M40+M41+M42+M43+M44+M45+M46</f>
        <v>63622.578999999998</v>
      </c>
      <c r="M37" s="25"/>
    </row>
    <row r="38" spans="1:256" ht="17.25" customHeight="1">
      <c r="A38" s="856"/>
      <c r="B38" s="705" t="s">
        <v>517</v>
      </c>
      <c r="C38" s="22">
        <v>7130870045</v>
      </c>
      <c r="D38" s="20" t="s">
        <v>17</v>
      </c>
      <c r="E38" s="22">
        <v>49</v>
      </c>
      <c r="F38" s="24">
        <v>87.81</v>
      </c>
      <c r="G38" s="24">
        <f t="shared" ref="G38:G46" si="9">F38*E38</f>
        <v>4302.6900000000005</v>
      </c>
      <c r="H38" s="22">
        <v>49</v>
      </c>
      <c r="I38" s="25">
        <f t="shared" si="7"/>
        <v>87.81</v>
      </c>
      <c r="J38" s="24">
        <f>I38*H38</f>
        <v>4302.6900000000005</v>
      </c>
      <c r="K38" s="22">
        <v>49</v>
      </c>
      <c r="L38" s="25">
        <f t="shared" si="8"/>
        <v>87.81</v>
      </c>
      <c r="M38" s="25">
        <f t="shared" si="1"/>
        <v>4302.6900000000005</v>
      </c>
    </row>
    <row r="39" spans="1:256" ht="17.25" customHeight="1">
      <c r="A39" s="856"/>
      <c r="B39" s="705" t="s">
        <v>518</v>
      </c>
      <c r="C39" s="22">
        <v>7130870043</v>
      </c>
      <c r="D39" s="20" t="s">
        <v>17</v>
      </c>
      <c r="E39" s="22">
        <v>20</v>
      </c>
      <c r="F39" s="24">
        <v>87.81</v>
      </c>
      <c r="G39" s="24">
        <f t="shared" si="9"/>
        <v>1756.2</v>
      </c>
      <c r="H39" s="22">
        <v>20</v>
      </c>
      <c r="I39" s="25">
        <f t="shared" si="7"/>
        <v>87.81</v>
      </c>
      <c r="J39" s="24">
        <f t="shared" ref="J39:J46" si="10">I39*H39</f>
        <v>1756.2</v>
      </c>
      <c r="K39" s="22">
        <v>20</v>
      </c>
      <c r="L39" s="25">
        <f t="shared" si="8"/>
        <v>87.81</v>
      </c>
      <c r="M39" s="25">
        <f t="shared" si="1"/>
        <v>1756.2</v>
      </c>
    </row>
    <row r="40" spans="1:256" ht="17.25" customHeight="1">
      <c r="A40" s="856"/>
      <c r="B40" s="705" t="s">
        <v>519</v>
      </c>
      <c r="C40" s="22">
        <v>7130897759</v>
      </c>
      <c r="D40" s="20" t="s">
        <v>54</v>
      </c>
      <c r="E40" s="22">
        <v>1</v>
      </c>
      <c r="F40" s="24">
        <v>4122.2299999999996</v>
      </c>
      <c r="G40" s="24">
        <f>F40*E40</f>
        <v>4122.2299999999996</v>
      </c>
      <c r="H40" s="22">
        <v>1</v>
      </c>
      <c r="I40" s="25">
        <f t="shared" si="7"/>
        <v>4122.2299999999996</v>
      </c>
      <c r="J40" s="24">
        <f t="shared" si="10"/>
        <v>4122.2299999999996</v>
      </c>
      <c r="K40" s="22">
        <v>1</v>
      </c>
      <c r="L40" s="25">
        <f t="shared" si="8"/>
        <v>4122.2299999999996</v>
      </c>
      <c r="M40" s="25">
        <f t="shared" si="1"/>
        <v>4122.2299999999996</v>
      </c>
    </row>
    <row r="41" spans="1:256" ht="17.25" customHeight="1">
      <c r="A41" s="856"/>
      <c r="B41" s="705" t="s">
        <v>55</v>
      </c>
      <c r="C41" s="22">
        <v>7130810692</v>
      </c>
      <c r="D41" s="20" t="s">
        <v>23</v>
      </c>
      <c r="E41" s="22">
        <v>3</v>
      </c>
      <c r="F41" s="24">
        <v>447.87</v>
      </c>
      <c r="G41" s="24">
        <f t="shared" si="9"/>
        <v>1343.6100000000001</v>
      </c>
      <c r="H41" s="22">
        <v>3</v>
      </c>
      <c r="I41" s="25">
        <f t="shared" si="7"/>
        <v>447.87</v>
      </c>
      <c r="J41" s="24">
        <f t="shared" si="10"/>
        <v>1343.6100000000001</v>
      </c>
      <c r="K41" s="22">
        <v>3</v>
      </c>
      <c r="L41" s="25">
        <f t="shared" si="8"/>
        <v>447.87</v>
      </c>
      <c r="M41" s="25">
        <f t="shared" si="1"/>
        <v>1343.6100000000001</v>
      </c>
    </row>
    <row r="42" spans="1:256" ht="18" customHeight="1">
      <c r="A42" s="856"/>
      <c r="B42" s="705" t="s">
        <v>56</v>
      </c>
      <c r="C42" s="22">
        <v>7130620625</v>
      </c>
      <c r="D42" s="20" t="s">
        <v>57</v>
      </c>
      <c r="E42" s="40">
        <v>1.2</v>
      </c>
      <c r="F42" s="24">
        <f>F35</f>
        <v>79.02</v>
      </c>
      <c r="G42" s="24">
        <f t="shared" si="9"/>
        <v>94.823999999999998</v>
      </c>
      <c r="H42" s="40">
        <v>1.2</v>
      </c>
      <c r="I42" s="25">
        <f t="shared" si="7"/>
        <v>79.02</v>
      </c>
      <c r="J42" s="24">
        <f t="shared" si="10"/>
        <v>94.823999999999998</v>
      </c>
      <c r="K42" s="40">
        <v>1.2</v>
      </c>
      <c r="L42" s="25">
        <f t="shared" si="8"/>
        <v>79.02</v>
      </c>
      <c r="M42" s="25">
        <f t="shared" si="1"/>
        <v>94.823999999999998</v>
      </c>
    </row>
    <row r="43" spans="1:256" ht="18" customHeight="1">
      <c r="A43" s="856"/>
      <c r="B43" s="705" t="s">
        <v>520</v>
      </c>
      <c r="C43" s="22">
        <v>7130620013</v>
      </c>
      <c r="D43" s="20" t="s">
        <v>14</v>
      </c>
      <c r="E43" s="22">
        <v>4</v>
      </c>
      <c r="F43" s="24">
        <v>146.26</v>
      </c>
      <c r="G43" s="24">
        <f t="shared" si="9"/>
        <v>585.04</v>
      </c>
      <c r="H43" s="22">
        <v>4</v>
      </c>
      <c r="I43" s="25">
        <f t="shared" si="7"/>
        <v>146.26</v>
      </c>
      <c r="J43" s="24">
        <f t="shared" si="10"/>
        <v>585.04</v>
      </c>
      <c r="K43" s="22">
        <v>4</v>
      </c>
      <c r="L43" s="25">
        <f t="shared" si="8"/>
        <v>146.26</v>
      </c>
      <c r="M43" s="25">
        <f t="shared" si="1"/>
        <v>585.04</v>
      </c>
    </row>
    <row r="44" spans="1:256" ht="17.25" customHeight="1">
      <c r="A44" s="856"/>
      <c r="B44" s="705" t="s">
        <v>59</v>
      </c>
      <c r="C44" s="22">
        <v>7130860033</v>
      </c>
      <c r="D44" s="20" t="s">
        <v>14</v>
      </c>
      <c r="E44" s="22">
        <v>2</v>
      </c>
      <c r="F44" s="24">
        <f>F22</f>
        <v>403.7</v>
      </c>
      <c r="G44" s="24">
        <f t="shared" si="9"/>
        <v>807.4</v>
      </c>
      <c r="H44" s="22">
        <v>2</v>
      </c>
      <c r="I44" s="25">
        <f t="shared" si="7"/>
        <v>403.7</v>
      </c>
      <c r="J44" s="24">
        <f t="shared" si="10"/>
        <v>807.4</v>
      </c>
      <c r="K44" s="22">
        <v>2</v>
      </c>
      <c r="L44" s="25">
        <f t="shared" si="8"/>
        <v>403.7</v>
      </c>
      <c r="M44" s="25">
        <f t="shared" si="1"/>
        <v>807.4</v>
      </c>
    </row>
    <row r="45" spans="1:256" ht="20.25" customHeight="1">
      <c r="A45" s="856"/>
      <c r="B45" s="705" t="s">
        <v>521</v>
      </c>
      <c r="C45" s="22">
        <v>7130860076</v>
      </c>
      <c r="D45" s="20" t="s">
        <v>17</v>
      </c>
      <c r="E45" s="22">
        <v>17</v>
      </c>
      <c r="F45" s="24">
        <f>F25</f>
        <v>2970</v>
      </c>
      <c r="G45" s="24">
        <f t="shared" si="9"/>
        <v>50490</v>
      </c>
      <c r="H45" s="22">
        <v>17</v>
      </c>
      <c r="I45" s="25">
        <f t="shared" si="7"/>
        <v>2970</v>
      </c>
      <c r="J45" s="24">
        <f t="shared" si="10"/>
        <v>50490</v>
      </c>
      <c r="K45" s="22">
        <v>17</v>
      </c>
      <c r="L45" s="25">
        <f t="shared" si="8"/>
        <v>2970</v>
      </c>
      <c r="M45" s="25">
        <f t="shared" si="1"/>
        <v>50490</v>
      </c>
    </row>
    <row r="46" spans="1:256" ht="18" customHeight="1">
      <c r="A46" s="857"/>
      <c r="B46" s="705" t="s">
        <v>61</v>
      </c>
      <c r="C46" s="22">
        <v>7130620619</v>
      </c>
      <c r="D46" s="20" t="s">
        <v>17</v>
      </c>
      <c r="E46" s="22">
        <v>1.5</v>
      </c>
      <c r="F46" s="24">
        <f>F34</f>
        <v>80.39</v>
      </c>
      <c r="G46" s="24">
        <f t="shared" si="9"/>
        <v>120.58500000000001</v>
      </c>
      <c r="H46" s="22">
        <v>1.5</v>
      </c>
      <c r="I46" s="25">
        <f t="shared" si="7"/>
        <v>80.39</v>
      </c>
      <c r="J46" s="24">
        <f t="shared" si="10"/>
        <v>120.58500000000001</v>
      </c>
      <c r="K46" s="22">
        <v>1.5</v>
      </c>
      <c r="L46" s="25">
        <f t="shared" si="8"/>
        <v>80.39</v>
      </c>
      <c r="M46" s="25">
        <f t="shared" si="1"/>
        <v>120.58500000000001</v>
      </c>
    </row>
    <row r="47" spans="1:256" s="59" customFormat="1" ht="36" customHeight="1">
      <c r="A47" s="56">
        <v>22</v>
      </c>
      <c r="B47" s="55" t="s">
        <v>62</v>
      </c>
      <c r="C47" s="54"/>
      <c r="D47" s="54"/>
      <c r="E47" s="52"/>
      <c r="F47" s="52"/>
      <c r="G47" s="52">
        <f>SUM(G9:G46)</f>
        <v>413172.49599999993</v>
      </c>
      <c r="H47" s="22"/>
      <c r="I47" s="24"/>
      <c r="J47" s="52">
        <f>SUM(J9:J46)</f>
        <v>692657.68899999978</v>
      </c>
      <c r="K47" s="52"/>
      <c r="L47" s="52"/>
      <c r="M47" s="52">
        <f>SUM(M9:M46)</f>
        <v>460076.09599999996</v>
      </c>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s="59" customFormat="1" ht="34.5" customHeight="1">
      <c r="A48" s="56">
        <v>23</v>
      </c>
      <c r="B48" s="55" t="s">
        <v>63</v>
      </c>
      <c r="C48" s="706"/>
      <c r="D48" s="54"/>
      <c r="E48" s="52"/>
      <c r="F48" s="52"/>
      <c r="G48" s="52">
        <f>G47/1.18</f>
        <v>350146.18305084744</v>
      </c>
      <c r="H48" s="707"/>
      <c r="I48" s="24"/>
      <c r="J48" s="52">
        <f>J47/1.18</f>
        <v>586998.04152542353</v>
      </c>
      <c r="K48" s="52"/>
      <c r="L48" s="52"/>
      <c r="M48" s="52">
        <f>M47/1.18</f>
        <v>389894.99661016947</v>
      </c>
      <c r="N48" s="39"/>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33" customHeight="1">
      <c r="A49" s="22">
        <v>24</v>
      </c>
      <c r="B49" s="21" t="s">
        <v>65</v>
      </c>
      <c r="C49" s="708"/>
      <c r="D49" s="709"/>
      <c r="E49" s="709"/>
      <c r="F49" s="693">
        <v>7.4999999999999997E-2</v>
      </c>
      <c r="G49" s="696">
        <f>G47*F49</f>
        <v>30987.937199999993</v>
      </c>
      <c r="H49" s="710"/>
      <c r="I49" s="711">
        <v>7.4999999999999997E-2</v>
      </c>
      <c r="J49" s="696">
        <f>J47*I49</f>
        <v>51949.326674999982</v>
      </c>
      <c r="K49" s="696"/>
      <c r="L49" s="711">
        <v>7.4999999999999997E-2</v>
      </c>
      <c r="M49" s="696">
        <f>M47*L49</f>
        <v>34505.707199999997</v>
      </c>
      <c r="N49" s="712"/>
    </row>
    <row r="50" spans="1:256" s="713" customFormat="1" ht="21.75" customHeight="1">
      <c r="A50" s="22">
        <v>25</v>
      </c>
      <c r="B50" s="69" t="s">
        <v>69</v>
      </c>
      <c r="C50" s="693"/>
      <c r="D50" s="20" t="s">
        <v>70</v>
      </c>
      <c r="E50" s="40">
        <f>(0.05*10)+(5*0.3)</f>
        <v>2</v>
      </c>
      <c r="F50" s="71">
        <f>609.17479416*1.055*1.035</f>
        <v>665.17318711315795</v>
      </c>
      <c r="G50" s="24">
        <f>F50*E50</f>
        <v>1330.3463742263159</v>
      </c>
      <c r="H50" s="40">
        <f>(0.65*10)+(5*0.3)</f>
        <v>8</v>
      </c>
      <c r="I50" s="71">
        <f>609.17479416*1.055</f>
        <v>642.67940783879999</v>
      </c>
      <c r="J50" s="36">
        <f>I50*H50</f>
        <v>5141.4352627103999</v>
      </c>
      <c r="K50" s="40">
        <f>(0.55*10)+(5*0.3)</f>
        <v>7</v>
      </c>
      <c r="L50" s="71">
        <f>609.17479416*1.055</f>
        <v>642.67940783879999</v>
      </c>
      <c r="M50" s="24">
        <f>K50*L50</f>
        <v>4498.7558548715997</v>
      </c>
      <c r="N50" s="72"/>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36" customHeight="1">
      <c r="A51" s="22">
        <v>26</v>
      </c>
      <c r="B51" s="21" t="s">
        <v>67</v>
      </c>
      <c r="C51" s="693"/>
      <c r="D51" s="20" t="s">
        <v>14</v>
      </c>
      <c r="E51" s="23">
        <v>10</v>
      </c>
      <c r="F51" s="714">
        <f>389.148122267965*1.055*1.035</f>
        <v>424.92056340744762</v>
      </c>
      <c r="G51" s="24">
        <f>F51*E51</f>
        <v>4249.2056340744766</v>
      </c>
      <c r="H51" s="35"/>
      <c r="I51" s="24"/>
      <c r="J51" s="36"/>
      <c r="K51" s="23"/>
      <c r="L51" s="24"/>
      <c r="M51" s="24"/>
      <c r="N51" s="152"/>
      <c r="O51" s="174"/>
    </row>
    <row r="52" spans="1:256" ht="33" customHeight="1">
      <c r="A52" s="22">
        <v>27</v>
      </c>
      <c r="B52" s="21" t="s">
        <v>522</v>
      </c>
      <c r="C52" s="693"/>
      <c r="D52" s="715"/>
      <c r="E52" s="24"/>
      <c r="F52" s="24"/>
      <c r="G52" s="24">
        <v>52291.28</v>
      </c>
      <c r="H52" s="24" t="s">
        <v>147</v>
      </c>
      <c r="I52" s="716" t="s">
        <v>147</v>
      </c>
      <c r="J52" s="716">
        <v>56524.43</v>
      </c>
      <c r="K52" s="689"/>
      <c r="L52" s="689"/>
      <c r="M52" s="716">
        <v>55841.93</v>
      </c>
      <c r="O52" s="717"/>
    </row>
    <row r="53" spans="1:256" ht="36" customHeight="1">
      <c r="A53" s="22">
        <v>28</v>
      </c>
      <c r="B53" s="21" t="s">
        <v>523</v>
      </c>
      <c r="C53" s="693"/>
      <c r="D53" s="694"/>
      <c r="E53" s="24"/>
      <c r="F53" s="24"/>
      <c r="G53" s="70">
        <f>G48*0.04</f>
        <v>14005.847322033898</v>
      </c>
      <c r="H53" s="24"/>
      <c r="I53" s="24"/>
      <c r="J53" s="24">
        <f>J48*0.04</f>
        <v>23479.921661016942</v>
      </c>
      <c r="K53" s="689"/>
      <c r="L53" s="689"/>
      <c r="M53" s="70">
        <f>M48*0.04</f>
        <v>15595.799864406779</v>
      </c>
      <c r="N53" s="718" t="s">
        <v>128</v>
      </c>
      <c r="O53" s="719"/>
    </row>
    <row r="54" spans="1:256" ht="66" customHeight="1">
      <c r="A54" s="22">
        <v>29</v>
      </c>
      <c r="B54" s="21" t="s">
        <v>524</v>
      </c>
      <c r="C54" s="693"/>
      <c r="D54" s="694"/>
      <c r="E54" s="24"/>
      <c r="F54" s="24"/>
      <c r="G54" s="70">
        <f>(G47+G49+G50+G51+G52+G53)*0.125</f>
        <v>64504.63906629182</v>
      </c>
      <c r="H54" s="70"/>
      <c r="I54" s="70"/>
      <c r="J54" s="70">
        <f>(J47+J49+J50+J51+J52+J53)*0.125</f>
        <v>103719.10032484091</v>
      </c>
      <c r="K54" s="70"/>
      <c r="L54" s="70"/>
      <c r="M54" s="70">
        <f>(M47+M49+M50+M51+M52+M53)*0.125</f>
        <v>71314.786114909803</v>
      </c>
      <c r="N54" s="84"/>
      <c r="O54" s="719"/>
    </row>
    <row r="55" spans="1:256" ht="35.25" customHeight="1">
      <c r="A55" s="56">
        <v>30</v>
      </c>
      <c r="B55" s="75" t="s">
        <v>525</v>
      </c>
      <c r="C55" s="693"/>
      <c r="D55" s="694"/>
      <c r="E55" s="24"/>
      <c r="F55" s="24"/>
      <c r="G55" s="52">
        <f>G48+G49+G50+G51+G52+G53+G54</f>
        <v>517515.43864747393</v>
      </c>
      <c r="H55" s="52"/>
      <c r="I55" s="52"/>
      <c r="J55" s="52">
        <f>J48+J49+J50+J51+J52+J53+J54</f>
        <v>827812.2554489919</v>
      </c>
      <c r="K55" s="52"/>
      <c r="L55" s="52"/>
      <c r="M55" s="52">
        <f>M48+M49+M50+M51+M52+M53+M54</f>
        <v>571651.97564435762</v>
      </c>
    </row>
    <row r="56" spans="1:256" ht="21.75" customHeight="1">
      <c r="A56" s="22">
        <v>31</v>
      </c>
      <c r="B56" s="21" t="s">
        <v>526</v>
      </c>
      <c r="C56" s="693"/>
      <c r="D56" s="694"/>
      <c r="E56" s="24"/>
      <c r="F56" s="24">
        <v>0.09</v>
      </c>
      <c r="G56" s="24">
        <f>G55*F56</f>
        <v>46576.389478272649</v>
      </c>
      <c r="H56" s="24"/>
      <c r="I56" s="24">
        <v>0.09</v>
      </c>
      <c r="J56" s="24">
        <f>J55*I56</f>
        <v>74503.102990409272</v>
      </c>
      <c r="K56" s="24"/>
      <c r="L56" s="24">
        <v>0.09</v>
      </c>
      <c r="M56" s="24">
        <f>M55*L56</f>
        <v>51448.677807992186</v>
      </c>
    </row>
    <row r="57" spans="1:256" ht="21.75" customHeight="1">
      <c r="A57" s="22">
        <v>32</v>
      </c>
      <c r="B57" s="21" t="s">
        <v>527</v>
      </c>
      <c r="C57" s="693"/>
      <c r="D57" s="694"/>
      <c r="E57" s="24"/>
      <c r="F57" s="24">
        <v>0.09</v>
      </c>
      <c r="G57" s="24">
        <f>G55*F57</f>
        <v>46576.389478272649</v>
      </c>
      <c r="H57" s="24"/>
      <c r="I57" s="24">
        <v>0.09</v>
      </c>
      <c r="J57" s="24">
        <f>J55*I57</f>
        <v>74503.102990409272</v>
      </c>
      <c r="K57" s="24"/>
      <c r="L57" s="24">
        <v>0.09</v>
      </c>
      <c r="M57" s="24">
        <f>M55*L57</f>
        <v>51448.677807992186</v>
      </c>
      <c r="N57" s="78"/>
    </row>
    <row r="58" spans="1:256" ht="33" customHeight="1">
      <c r="A58" s="22">
        <v>33</v>
      </c>
      <c r="B58" s="21" t="s">
        <v>528</v>
      </c>
      <c r="C58" s="693"/>
      <c r="D58" s="694"/>
      <c r="E58" s="24"/>
      <c r="F58" s="24"/>
      <c r="G58" s="24">
        <f>G55+G56+G57</f>
        <v>610668.21760401921</v>
      </c>
      <c r="H58" s="24"/>
      <c r="I58" s="24"/>
      <c r="J58" s="24">
        <f>J55+J56+J57</f>
        <v>976818.46142981038</v>
      </c>
      <c r="K58" s="24"/>
      <c r="L58" s="24"/>
      <c r="M58" s="24">
        <f>M55+M56+M57</f>
        <v>674549.33126034203</v>
      </c>
    </row>
    <row r="59" spans="1:256" s="15" customFormat="1" ht="36.75" customHeight="1">
      <c r="A59" s="56">
        <v>34</v>
      </c>
      <c r="B59" s="75" t="s">
        <v>76</v>
      </c>
      <c r="C59" s="54"/>
      <c r="D59" s="720"/>
      <c r="E59" s="52"/>
      <c r="F59" s="52"/>
      <c r="G59" s="52">
        <f>ROUND(G58,0)</f>
        <v>610668</v>
      </c>
      <c r="H59" s="24"/>
      <c r="I59" s="24"/>
      <c r="J59" s="52">
        <f>ROUND(J58,0)</f>
        <v>976818</v>
      </c>
      <c r="K59" s="52"/>
      <c r="L59" s="52"/>
      <c r="M59" s="52">
        <f>ROUND(M58,0)</f>
        <v>674549</v>
      </c>
    </row>
    <row r="60" spans="1:256" ht="15.75">
      <c r="A60" s="721"/>
      <c r="B60" s="235"/>
      <c r="C60" s="722"/>
      <c r="D60" s="721"/>
      <c r="E60" s="723"/>
      <c r="F60" s="723"/>
      <c r="G60" s="724"/>
      <c r="H60" s="65"/>
      <c r="I60" s="65"/>
      <c r="J60" s="65"/>
    </row>
    <row r="61" spans="1:256" ht="15" customHeight="1">
      <c r="A61" s="858" t="s">
        <v>291</v>
      </c>
      <c r="B61" s="858"/>
      <c r="C61" s="858"/>
      <c r="D61" s="858"/>
      <c r="E61" s="858"/>
      <c r="F61" s="858"/>
      <c r="G61" s="858"/>
      <c r="H61" s="725"/>
      <c r="I61" s="725"/>
      <c r="J61" s="725"/>
    </row>
    <row r="62" spans="1:256" ht="19.5" customHeight="1">
      <c r="A62" s="726">
        <v>1</v>
      </c>
      <c r="B62" s="855" t="s">
        <v>78</v>
      </c>
      <c r="C62" s="855"/>
      <c r="D62" s="855"/>
      <c r="E62" s="855"/>
      <c r="F62" s="855"/>
      <c r="G62" s="855"/>
      <c r="H62" s="65"/>
      <c r="I62" s="65"/>
      <c r="J62" s="65"/>
      <c r="N62" s="717"/>
    </row>
    <row r="63" spans="1:256" ht="17.25" customHeight="1">
      <c r="A63" s="726">
        <v>2</v>
      </c>
      <c r="B63" s="855" t="s">
        <v>79</v>
      </c>
      <c r="C63" s="855"/>
      <c r="D63" s="855"/>
      <c r="E63" s="855"/>
      <c r="F63" s="855"/>
      <c r="G63" s="855"/>
      <c r="H63" s="727"/>
      <c r="I63" s="727"/>
      <c r="J63" s="727"/>
    </row>
  </sheetData>
  <mergeCells count="17">
    <mergeCell ref="B62:G62"/>
    <mergeCell ref="B63:G63"/>
    <mergeCell ref="K6:M6"/>
    <mergeCell ref="A13:A15"/>
    <mergeCell ref="A22:A23"/>
    <mergeCell ref="A31:A36"/>
    <mergeCell ref="A37:A46"/>
    <mergeCell ref="A61:G61"/>
    <mergeCell ref="C1:F1"/>
    <mergeCell ref="B3:J3"/>
    <mergeCell ref="I4:J4"/>
    <mergeCell ref="A6:A7"/>
    <mergeCell ref="B6:B7"/>
    <mergeCell ref="C6:C7"/>
    <mergeCell ref="D6:D7"/>
    <mergeCell ref="E6:G6"/>
    <mergeCell ref="H6:J6"/>
  </mergeCells>
  <conditionalFormatting sqref="B47">
    <cfRule type="cellIs" dxfId="16" priority="2" stopIfTrue="1" operator="equal">
      <formula>"?"</formula>
    </cfRule>
  </conditionalFormatting>
  <conditionalFormatting sqref="B48">
    <cfRule type="cellIs" dxfId="15" priority="1" stopIfTrue="1" operator="equal">
      <formula>"?"</formula>
    </cfRule>
  </conditionalFormatting>
  <printOptions horizontalCentered="1" gridLines="1"/>
  <pageMargins left="0.82677165354330717" right="0.15748031496062992" top="0.70866141732283472" bottom="0.27559055118110237" header="0.51181102362204722" footer="0.19685039370078741"/>
  <pageSetup paperSize="9" scale="83" fitToHeight="3" orientation="landscape" horizontalDpi="4294967295" r:id="rId1"/>
  <headerFooter alignWithMargins="0"/>
  <rowBreaks count="1" manualBreakCount="1">
    <brk id="51"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L57"/>
  <sheetViews>
    <sheetView workbookViewId="0">
      <pane xSplit="2" ySplit="6" topLeftCell="C25" activePane="bottomRight" state="frozen"/>
      <selection pane="topRight" activeCell="C1" sqref="C1"/>
      <selection pane="bottomLeft" activeCell="A7" sqref="A7"/>
      <selection pane="bottomRight" activeCell="E12" sqref="E12"/>
    </sheetView>
  </sheetViews>
  <sheetFormatPr defaultRowHeight="12.75"/>
  <cols>
    <col min="1" max="1" width="5.7109375" style="90" customWidth="1"/>
    <col min="2" max="2" width="40.42578125" style="94" customWidth="1"/>
    <col min="3" max="3" width="13.5703125" style="94" customWidth="1"/>
    <col min="4" max="4" width="8.7109375" style="94" customWidth="1"/>
    <col min="5" max="5" width="6.7109375" style="94" bestFit="1" customWidth="1"/>
    <col min="6" max="6" width="10.28515625" style="94" customWidth="1"/>
    <col min="7" max="7" width="13.140625" style="94" bestFit="1" customWidth="1"/>
    <col min="8" max="8" width="26" style="94" customWidth="1"/>
    <col min="9" max="9" width="13.85546875" style="94" customWidth="1"/>
    <col min="10" max="10" width="14.42578125" style="94" customWidth="1"/>
    <col min="11" max="11" width="11.85546875" style="94" customWidth="1"/>
    <col min="12" max="16384" width="9.140625" style="94"/>
  </cols>
  <sheetData>
    <row r="1" spans="1:12" ht="18" customHeight="1">
      <c r="B1" s="859" t="s">
        <v>80</v>
      </c>
      <c r="C1" s="859"/>
      <c r="D1" s="859"/>
      <c r="E1" s="859"/>
      <c r="F1" s="91"/>
      <c r="G1" s="91"/>
      <c r="H1" s="92"/>
      <c r="I1" s="93"/>
      <c r="J1" s="93"/>
      <c r="K1" s="93"/>
      <c r="L1" s="93"/>
    </row>
    <row r="2" spans="1:12" ht="18">
      <c r="A2" s="95"/>
      <c r="B2" s="95"/>
      <c r="C2" s="95"/>
      <c r="D2" s="95"/>
      <c r="E2" s="95"/>
      <c r="F2" s="95"/>
      <c r="G2" s="495" t="s">
        <v>493</v>
      </c>
      <c r="H2" s="92"/>
      <c r="I2" s="93"/>
      <c r="J2" s="93"/>
      <c r="K2" s="93"/>
      <c r="L2" s="93"/>
    </row>
    <row r="3" spans="1:12" ht="32.25" customHeight="1">
      <c r="B3" s="860" t="s">
        <v>81</v>
      </c>
      <c r="C3" s="860"/>
      <c r="D3" s="860"/>
      <c r="E3" s="860"/>
      <c r="F3" s="860"/>
      <c r="G3" s="66"/>
      <c r="H3" s="66"/>
      <c r="I3" s="93"/>
      <c r="J3" s="93"/>
      <c r="K3" s="93"/>
      <c r="L3" s="93"/>
    </row>
    <row r="4" spans="1:12" ht="9.75" customHeight="1">
      <c r="A4" s="96"/>
      <c r="B4" s="96"/>
      <c r="C4" s="96"/>
      <c r="D4" s="96"/>
      <c r="E4" s="96"/>
      <c r="F4" s="96"/>
      <c r="G4" s="96"/>
      <c r="H4" s="66"/>
      <c r="I4" s="93"/>
      <c r="J4" s="93"/>
      <c r="K4" s="93"/>
      <c r="L4" s="93"/>
    </row>
    <row r="5" spans="1:12" ht="30">
      <c r="A5" s="97" t="s">
        <v>82</v>
      </c>
      <c r="B5" s="98" t="s">
        <v>83</v>
      </c>
      <c r="C5" s="99" t="s">
        <v>4</v>
      </c>
      <c r="D5" s="97" t="s">
        <v>5</v>
      </c>
      <c r="E5" s="97" t="s">
        <v>9</v>
      </c>
      <c r="F5" s="98" t="s">
        <v>84</v>
      </c>
      <c r="G5" s="97" t="s">
        <v>85</v>
      </c>
      <c r="H5" s="93"/>
      <c r="I5" s="93"/>
      <c r="J5" s="93"/>
      <c r="K5" s="93"/>
      <c r="L5" s="93"/>
    </row>
    <row r="6" spans="1:12" ht="15.75">
      <c r="A6" s="97">
        <v>1</v>
      </c>
      <c r="B6" s="98">
        <v>2</v>
      </c>
      <c r="C6" s="100">
        <v>3</v>
      </c>
      <c r="D6" s="97">
        <v>4</v>
      </c>
      <c r="E6" s="97">
        <v>5</v>
      </c>
      <c r="F6" s="98">
        <v>6</v>
      </c>
      <c r="G6" s="97">
        <v>7</v>
      </c>
      <c r="H6" s="93"/>
      <c r="I6" s="93"/>
      <c r="J6" s="93"/>
      <c r="K6" s="93"/>
      <c r="L6" s="93"/>
    </row>
    <row r="7" spans="1:12" ht="15">
      <c r="A7" s="101">
        <v>1</v>
      </c>
      <c r="B7" s="102" t="s">
        <v>86</v>
      </c>
      <c r="C7" s="103">
        <v>7130830063</v>
      </c>
      <c r="D7" s="104" t="s">
        <v>87</v>
      </c>
      <c r="E7" s="104">
        <v>3.1</v>
      </c>
      <c r="F7" s="105">
        <v>95458.44</v>
      </c>
      <c r="G7" s="106">
        <f>F7*E7</f>
        <v>295921.16399999999</v>
      </c>
      <c r="H7" s="93"/>
      <c r="I7" s="93"/>
      <c r="J7" s="93"/>
      <c r="K7" s="93"/>
      <c r="L7" s="93"/>
    </row>
    <row r="8" spans="1:12" ht="29.25" customHeight="1">
      <c r="A8" s="101">
        <v>2</v>
      </c>
      <c r="B8" s="102" t="s">
        <v>88</v>
      </c>
      <c r="C8" s="103">
        <v>7130830051</v>
      </c>
      <c r="D8" s="104" t="s">
        <v>14</v>
      </c>
      <c r="E8" s="104">
        <v>6</v>
      </c>
      <c r="F8" s="105">
        <v>185.27</v>
      </c>
      <c r="G8" s="106">
        <f>E8*F8</f>
        <v>1111.6200000000001</v>
      </c>
      <c r="H8" s="107"/>
      <c r="I8" s="93"/>
      <c r="J8" s="93"/>
      <c r="K8" s="93"/>
      <c r="L8" s="93"/>
    </row>
    <row r="9" spans="1:12" ht="16.5" customHeight="1">
      <c r="A9" s="101">
        <v>3</v>
      </c>
      <c r="B9" s="108" t="s">
        <v>27</v>
      </c>
      <c r="C9" s="109">
        <v>7130820009</v>
      </c>
      <c r="D9" s="110" t="s">
        <v>14</v>
      </c>
      <c r="E9" s="101">
        <v>6</v>
      </c>
      <c r="F9" s="111">
        <v>333.95</v>
      </c>
      <c r="G9" s="112">
        <f>E9*F9</f>
        <v>2003.6999999999998</v>
      </c>
      <c r="H9" s="107"/>
      <c r="I9" s="39"/>
      <c r="J9" s="39"/>
      <c r="K9" s="79"/>
      <c r="L9" s="37"/>
    </row>
    <row r="10" spans="1:12" ht="15">
      <c r="A10" s="861">
        <v>4</v>
      </c>
      <c r="B10" s="102" t="s">
        <v>89</v>
      </c>
      <c r="C10" s="113"/>
      <c r="D10" s="114"/>
      <c r="E10" s="114"/>
      <c r="F10" s="114"/>
      <c r="G10" s="115"/>
      <c r="H10" s="93"/>
      <c r="I10" s="93"/>
      <c r="J10" s="39"/>
      <c r="K10" s="79"/>
      <c r="L10" s="37"/>
    </row>
    <row r="11" spans="1:12" ht="16.5" customHeight="1">
      <c r="A11" s="861"/>
      <c r="B11" s="102" t="s">
        <v>90</v>
      </c>
      <c r="C11" s="103">
        <v>7130870045</v>
      </c>
      <c r="D11" s="104" t="s">
        <v>17</v>
      </c>
      <c r="E11" s="104">
        <v>49</v>
      </c>
      <c r="F11" s="105">
        <v>87.81</v>
      </c>
      <c r="G11" s="106">
        <f t="shared" ref="G11:G18" si="0">F11*E11</f>
        <v>4302.6900000000005</v>
      </c>
      <c r="H11" s="93"/>
      <c r="I11" s="93"/>
      <c r="J11" s="93"/>
      <c r="K11" s="93"/>
      <c r="L11" s="93"/>
    </row>
    <row r="12" spans="1:12" ht="18" customHeight="1">
      <c r="A12" s="861"/>
      <c r="B12" s="102" t="s">
        <v>91</v>
      </c>
      <c r="C12" s="103">
        <v>7130870043</v>
      </c>
      <c r="D12" s="104" t="s">
        <v>17</v>
      </c>
      <c r="E12" s="104">
        <v>20</v>
      </c>
      <c r="F12" s="105">
        <v>87.81</v>
      </c>
      <c r="G12" s="106">
        <f t="shared" si="0"/>
        <v>1756.2</v>
      </c>
      <c r="H12" s="93"/>
      <c r="I12" s="93"/>
      <c r="J12" s="93"/>
      <c r="K12" s="93"/>
      <c r="L12" s="93"/>
    </row>
    <row r="13" spans="1:12" ht="17.25" customHeight="1">
      <c r="A13" s="861"/>
      <c r="B13" s="102" t="s">
        <v>92</v>
      </c>
      <c r="C13" s="103">
        <v>7130897759</v>
      </c>
      <c r="D13" s="104" t="s">
        <v>54</v>
      </c>
      <c r="E13" s="104">
        <v>1</v>
      </c>
      <c r="F13" s="105">
        <v>4122.2299999999996</v>
      </c>
      <c r="G13" s="106">
        <f t="shared" si="0"/>
        <v>4122.2299999999996</v>
      </c>
      <c r="H13" s="93"/>
      <c r="I13" s="93"/>
      <c r="J13" s="93"/>
      <c r="K13" s="93"/>
      <c r="L13" s="93"/>
    </row>
    <row r="14" spans="1:12" ht="17.25" customHeight="1">
      <c r="A14" s="861"/>
      <c r="B14" s="102" t="s">
        <v>93</v>
      </c>
      <c r="C14" s="103">
        <v>7130620625</v>
      </c>
      <c r="D14" s="104" t="s">
        <v>17</v>
      </c>
      <c r="E14" s="104">
        <v>1.2</v>
      </c>
      <c r="F14" s="105">
        <v>79.02</v>
      </c>
      <c r="G14" s="106">
        <f t="shared" si="0"/>
        <v>94.823999999999998</v>
      </c>
      <c r="H14" s="93"/>
      <c r="I14" s="116"/>
      <c r="J14" s="116"/>
      <c r="K14" s="116"/>
      <c r="L14" s="93"/>
    </row>
    <row r="15" spans="1:12" ht="15">
      <c r="A15" s="861"/>
      <c r="B15" s="102" t="s">
        <v>94</v>
      </c>
      <c r="C15" s="117">
        <v>7130620013</v>
      </c>
      <c r="D15" s="104" t="s">
        <v>14</v>
      </c>
      <c r="E15" s="104">
        <v>4</v>
      </c>
      <c r="F15" s="105">
        <v>146.26</v>
      </c>
      <c r="G15" s="106">
        <f t="shared" si="0"/>
        <v>585.04</v>
      </c>
      <c r="H15" s="93"/>
      <c r="I15" s="93"/>
      <c r="J15" s="93"/>
      <c r="K15" s="93"/>
      <c r="L15" s="93"/>
    </row>
    <row r="16" spans="1:12" ht="15">
      <c r="A16" s="861"/>
      <c r="B16" s="102" t="s">
        <v>95</v>
      </c>
      <c r="C16" s="103">
        <v>7130860033</v>
      </c>
      <c r="D16" s="104" t="s">
        <v>14</v>
      </c>
      <c r="E16" s="104">
        <v>2</v>
      </c>
      <c r="F16" s="105">
        <v>986.29</v>
      </c>
      <c r="G16" s="106">
        <f t="shared" si="0"/>
        <v>1972.58</v>
      </c>
      <c r="H16" s="93"/>
      <c r="I16" s="93"/>
      <c r="J16" s="93"/>
      <c r="K16" s="93"/>
      <c r="L16" s="93"/>
    </row>
    <row r="17" spans="1:12" ht="15">
      <c r="A17" s="861"/>
      <c r="B17" s="102" t="s">
        <v>96</v>
      </c>
      <c r="C17" s="103">
        <v>7130860076</v>
      </c>
      <c r="D17" s="104" t="s">
        <v>17</v>
      </c>
      <c r="E17" s="104">
        <v>17</v>
      </c>
      <c r="F17" s="105">
        <v>90.68</v>
      </c>
      <c r="G17" s="106">
        <f t="shared" si="0"/>
        <v>1541.5600000000002</v>
      </c>
      <c r="H17" s="93"/>
      <c r="I17" s="93"/>
      <c r="J17" s="93"/>
      <c r="K17" s="93"/>
      <c r="L17" s="93"/>
    </row>
    <row r="18" spans="1:12" ht="15">
      <c r="A18" s="861"/>
      <c r="B18" s="102" t="s">
        <v>97</v>
      </c>
      <c r="C18" s="103">
        <v>7130620619</v>
      </c>
      <c r="D18" s="104" t="s">
        <v>17</v>
      </c>
      <c r="E18" s="104">
        <v>1.5</v>
      </c>
      <c r="F18" s="105">
        <v>80.39</v>
      </c>
      <c r="G18" s="106">
        <f t="shared" si="0"/>
        <v>120.58500000000001</v>
      </c>
      <c r="H18" s="93"/>
      <c r="I18" s="93"/>
      <c r="J18" s="93"/>
      <c r="K18" s="93"/>
      <c r="L18" s="93"/>
    </row>
    <row r="19" spans="1:12" ht="30.75" customHeight="1">
      <c r="A19" s="104">
        <v>5</v>
      </c>
      <c r="B19" s="102" t="s">
        <v>98</v>
      </c>
      <c r="C19" s="103">
        <v>7130200202</v>
      </c>
      <c r="D19" s="104" t="s">
        <v>70</v>
      </c>
      <c r="E19" s="104">
        <v>0.6</v>
      </c>
      <c r="F19" s="105">
        <v>2970</v>
      </c>
      <c r="G19" s="106">
        <f>E19*F19</f>
        <v>1782</v>
      </c>
      <c r="H19" s="496" t="s">
        <v>37</v>
      </c>
      <c r="I19" s="93"/>
      <c r="J19" s="93"/>
      <c r="K19" s="93"/>
      <c r="L19" s="93"/>
    </row>
    <row r="20" spans="1:12" ht="30">
      <c r="A20" s="118">
        <v>6</v>
      </c>
      <c r="B20" s="119" t="s">
        <v>62</v>
      </c>
      <c r="C20" s="120"/>
      <c r="D20" s="121"/>
      <c r="E20" s="104"/>
      <c r="F20" s="106"/>
      <c r="G20" s="122">
        <f>SUM(G7:G19)</f>
        <v>315314.19300000003</v>
      </c>
      <c r="H20" s="123"/>
      <c r="I20" s="124"/>
      <c r="J20" s="93"/>
      <c r="K20" s="93"/>
      <c r="L20" s="93"/>
    </row>
    <row r="21" spans="1:12" ht="30">
      <c r="A21" s="125">
        <v>7</v>
      </c>
      <c r="B21" s="119" t="s">
        <v>99</v>
      </c>
      <c r="C21" s="120"/>
      <c r="D21" s="121"/>
      <c r="E21" s="104"/>
      <c r="F21" s="106"/>
      <c r="G21" s="126">
        <f>G20/1.18</f>
        <v>267215.41779661021</v>
      </c>
      <c r="H21" s="48"/>
      <c r="I21" s="124"/>
      <c r="J21" s="93"/>
      <c r="K21" s="93"/>
      <c r="L21" s="93"/>
    </row>
    <row r="22" spans="1:12" ht="28.5" customHeight="1">
      <c r="A22" s="128">
        <v>8</v>
      </c>
      <c r="B22" s="129" t="s">
        <v>100</v>
      </c>
      <c r="C22" s="130"/>
      <c r="D22" s="130"/>
      <c r="E22" s="130"/>
      <c r="F22" s="131">
        <v>7.4999999999999997E-2</v>
      </c>
      <c r="G22" s="132">
        <f>G20*F22</f>
        <v>23648.564475000003</v>
      </c>
      <c r="H22" s="196"/>
      <c r="I22" s="124"/>
      <c r="J22" s="93"/>
      <c r="K22" s="93"/>
      <c r="L22" s="93"/>
    </row>
    <row r="23" spans="1:12" ht="17.25" customHeight="1">
      <c r="A23" s="104">
        <v>9</v>
      </c>
      <c r="B23" s="133" t="s">
        <v>69</v>
      </c>
      <c r="C23" s="134"/>
      <c r="D23" s="131" t="s">
        <v>70</v>
      </c>
      <c r="E23" s="104">
        <v>0.6</v>
      </c>
      <c r="F23" s="512">
        <v>665.17</v>
      </c>
      <c r="G23" s="106">
        <f>E23*F23</f>
        <v>399.10199999999998</v>
      </c>
      <c r="H23" s="135"/>
      <c r="I23" s="136"/>
      <c r="J23" s="93"/>
      <c r="K23" s="93"/>
      <c r="L23" s="93"/>
    </row>
    <row r="24" spans="1:12" ht="33" customHeight="1">
      <c r="A24" s="104">
        <v>10</v>
      </c>
      <c r="B24" s="137" t="s">
        <v>484</v>
      </c>
      <c r="C24" s="138"/>
      <c r="D24" s="138"/>
      <c r="E24" s="138"/>
      <c r="F24" s="138"/>
      <c r="G24" s="139">
        <v>31332.53</v>
      </c>
      <c r="H24" s="68"/>
      <c r="I24" s="136"/>
      <c r="J24" s="93"/>
      <c r="K24" s="93"/>
      <c r="L24" s="93"/>
    </row>
    <row r="25" spans="1:12" ht="18" customHeight="1">
      <c r="A25" s="181">
        <v>11</v>
      </c>
      <c r="B25" s="129" t="s">
        <v>485</v>
      </c>
      <c r="C25" s="138"/>
      <c r="D25" s="138"/>
      <c r="E25" s="138"/>
      <c r="F25" s="138"/>
      <c r="G25" s="139">
        <f>G21*0.04</f>
        <v>10688.616711864408</v>
      </c>
      <c r="H25" s="497" t="s">
        <v>64</v>
      </c>
      <c r="I25" s="136"/>
      <c r="J25" s="93"/>
      <c r="K25" s="93"/>
      <c r="L25" s="93"/>
    </row>
    <row r="26" spans="1:12" ht="45" customHeight="1">
      <c r="A26" s="143">
        <v>12</v>
      </c>
      <c r="B26" s="129" t="s">
        <v>486</v>
      </c>
      <c r="C26" s="141"/>
      <c r="D26" s="140"/>
      <c r="E26" s="140"/>
      <c r="F26" s="142"/>
      <c r="G26" s="106">
        <f>(G20+G22+G23+G24+G25)*0.125</f>
        <v>47672.875773358064</v>
      </c>
      <c r="H26" s="93"/>
      <c r="I26" s="498"/>
      <c r="J26" s="93"/>
      <c r="K26" s="93"/>
      <c r="L26" s="93"/>
    </row>
    <row r="27" spans="1:12" ht="32.25" customHeight="1">
      <c r="A27" s="118">
        <v>13</v>
      </c>
      <c r="B27" s="144" t="s">
        <v>487</v>
      </c>
      <c r="C27" s="145"/>
      <c r="D27" s="140"/>
      <c r="E27" s="140"/>
      <c r="F27" s="146"/>
      <c r="G27" s="122">
        <f>G21+G22+G23+G24+G25+G26</f>
        <v>380957.10675683274</v>
      </c>
      <c r="H27" s="147"/>
      <c r="I27" s="148"/>
      <c r="J27" s="93"/>
      <c r="K27" s="93"/>
      <c r="L27" s="93"/>
    </row>
    <row r="28" spans="1:12" ht="17.25" customHeight="1">
      <c r="A28" s="101">
        <v>14</v>
      </c>
      <c r="B28" s="108" t="s">
        <v>286</v>
      </c>
      <c r="C28" s="145"/>
      <c r="D28" s="140"/>
      <c r="E28" s="140"/>
      <c r="F28" s="106">
        <v>0.09</v>
      </c>
      <c r="G28" s="106">
        <f>G27*F28</f>
        <v>34286.139608114943</v>
      </c>
      <c r="H28" s="149"/>
      <c r="I28" s="150"/>
      <c r="J28" s="93"/>
      <c r="K28" s="93"/>
      <c r="L28" s="93"/>
    </row>
    <row r="29" spans="1:12" ht="15">
      <c r="A29" s="101">
        <v>15</v>
      </c>
      <c r="B29" s="108" t="s">
        <v>287</v>
      </c>
      <c r="C29" s="145"/>
      <c r="D29" s="140"/>
      <c r="E29" s="140"/>
      <c r="F29" s="151" t="s">
        <v>101</v>
      </c>
      <c r="G29" s="106">
        <f>G27*F29</f>
        <v>34286.139608114943</v>
      </c>
      <c r="H29" s="152"/>
      <c r="I29" s="150"/>
      <c r="J29" s="93"/>
      <c r="K29" s="93"/>
      <c r="L29" s="93"/>
    </row>
    <row r="30" spans="1:12" ht="45" customHeight="1">
      <c r="A30" s="104">
        <v>16</v>
      </c>
      <c r="B30" s="102" t="s">
        <v>102</v>
      </c>
      <c r="C30" s="102"/>
      <c r="D30" s="140"/>
      <c r="E30" s="104">
        <v>3.1</v>
      </c>
      <c r="F30" s="512">
        <f>(26110*0.2*0.9)+(0.1*26110)</f>
        <v>7310.8</v>
      </c>
      <c r="G30" s="106">
        <f>E30*F30</f>
        <v>22663.48</v>
      </c>
      <c r="H30" s="153"/>
      <c r="I30" s="154"/>
      <c r="J30" s="155"/>
      <c r="K30" s="93"/>
      <c r="L30" s="93"/>
    </row>
    <row r="31" spans="1:12" ht="30.75" customHeight="1">
      <c r="A31" s="101">
        <v>17</v>
      </c>
      <c r="B31" s="129" t="s">
        <v>488</v>
      </c>
      <c r="C31" s="130"/>
      <c r="D31" s="130"/>
      <c r="E31" s="130"/>
      <c r="F31" s="130"/>
      <c r="G31" s="122">
        <f>G27+G28+G29-G30</f>
        <v>426865.90597306268</v>
      </c>
      <c r="H31" s="136"/>
      <c r="I31" s="136"/>
      <c r="J31" s="93"/>
      <c r="K31" s="136"/>
      <c r="L31" s="93"/>
    </row>
    <row r="32" spans="1:12" ht="32.25" customHeight="1">
      <c r="A32" s="118">
        <v>18</v>
      </c>
      <c r="B32" s="144" t="s">
        <v>76</v>
      </c>
      <c r="C32" s="156"/>
      <c r="D32" s="156"/>
      <c r="E32" s="156"/>
      <c r="F32" s="157"/>
      <c r="G32" s="158">
        <f>ROUND(G31,0)</f>
        <v>426866</v>
      </c>
      <c r="H32" s="93"/>
      <c r="I32" s="136"/>
      <c r="J32" s="93"/>
      <c r="K32" s="93"/>
      <c r="L32" s="93"/>
    </row>
    <row r="33" spans="1:12" ht="15">
      <c r="A33" s="159"/>
      <c r="B33" s="93"/>
      <c r="C33" s="93"/>
      <c r="D33" s="93"/>
      <c r="E33" s="93"/>
      <c r="F33" s="93"/>
      <c r="G33" s="136"/>
      <c r="H33" s="93"/>
      <c r="I33" s="93"/>
      <c r="J33" s="93"/>
      <c r="K33" s="93"/>
      <c r="L33" s="93"/>
    </row>
    <row r="34" spans="1:12" ht="15">
      <c r="A34" s="159"/>
      <c r="B34" s="93"/>
      <c r="C34" s="93"/>
      <c r="D34" s="93"/>
      <c r="E34" s="93"/>
      <c r="F34" s="93"/>
      <c r="G34" s="136"/>
      <c r="H34" s="93"/>
      <c r="I34" s="93"/>
      <c r="J34" s="93"/>
      <c r="K34" s="93"/>
      <c r="L34" s="93"/>
    </row>
    <row r="35" spans="1:12" ht="15">
      <c r="A35" s="159"/>
      <c r="B35" s="93"/>
      <c r="C35" s="93"/>
      <c r="D35" s="93"/>
      <c r="E35" s="93"/>
      <c r="F35" s="93"/>
      <c r="G35" s="136"/>
      <c r="H35" s="93"/>
      <c r="I35" s="93"/>
      <c r="J35" s="93"/>
      <c r="K35" s="93"/>
      <c r="L35" s="93"/>
    </row>
    <row r="36" spans="1:12" ht="15">
      <c r="A36" s="159"/>
      <c r="B36" s="93"/>
      <c r="C36" s="93"/>
      <c r="D36" s="93"/>
      <c r="E36" s="93"/>
      <c r="F36" s="93"/>
      <c r="G36" s="136"/>
      <c r="H36" s="93"/>
      <c r="I36" s="93"/>
      <c r="J36" s="93"/>
      <c r="K36" s="93"/>
      <c r="L36" s="93"/>
    </row>
    <row r="37" spans="1:12" ht="15">
      <c r="A37" s="159"/>
      <c r="B37" s="93"/>
      <c r="C37" s="93"/>
      <c r="D37" s="93"/>
      <c r="E37" s="93"/>
      <c r="F37" s="93"/>
      <c r="G37" s="136"/>
      <c r="H37" s="93"/>
      <c r="I37" s="93"/>
      <c r="J37" s="93"/>
      <c r="K37" s="93"/>
      <c r="L37" s="93"/>
    </row>
    <row r="38" spans="1:12" ht="15">
      <c r="A38" s="159"/>
      <c r="B38" s="93"/>
      <c r="C38" s="93"/>
      <c r="D38" s="93"/>
      <c r="E38" s="93"/>
      <c r="F38" s="93"/>
      <c r="G38" s="136"/>
      <c r="H38" s="93"/>
      <c r="I38" s="93"/>
      <c r="J38" s="93"/>
      <c r="K38" s="93"/>
      <c r="L38" s="93"/>
    </row>
    <row r="56" spans="1:3" s="161" customFormat="1" ht="15">
      <c r="A56" s="160"/>
      <c r="B56" s="862"/>
      <c r="C56" s="862"/>
    </row>
    <row r="57" spans="1:3" s="161" customFormat="1" ht="14.25">
      <c r="A57" s="160"/>
      <c r="B57" s="48"/>
      <c r="C57" s="162"/>
    </row>
  </sheetData>
  <mergeCells count="4">
    <mergeCell ref="B1:E1"/>
    <mergeCell ref="B3:F3"/>
    <mergeCell ref="A10:A18"/>
    <mergeCell ref="B56:C56"/>
  </mergeCells>
  <conditionalFormatting sqref="B20">
    <cfRule type="cellIs" dxfId="14" priority="2" stopIfTrue="1" operator="equal">
      <formula>"?"</formula>
    </cfRule>
  </conditionalFormatting>
  <conditionalFormatting sqref="B21">
    <cfRule type="cellIs" dxfId="13" priority="1" stopIfTrue="1" operator="equal">
      <formula>"?"</formula>
    </cfRule>
  </conditionalFormatting>
  <pageMargins left="0.9" right="0.1" top="0.71" bottom="0.35" header="0.38" footer="0.17"/>
  <pageSetup scale="13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K56"/>
  <sheetViews>
    <sheetView zoomScaleNormal="100" workbookViewId="0">
      <pane xSplit="3" ySplit="8" topLeftCell="D11" activePane="bottomRight" state="frozen"/>
      <selection pane="topRight" activeCell="D1" sqref="D1"/>
      <selection pane="bottomLeft" activeCell="A9" sqref="A9"/>
      <selection pane="bottomRight" activeCell="E11" sqref="E11"/>
    </sheetView>
  </sheetViews>
  <sheetFormatPr defaultRowHeight="12.75"/>
  <cols>
    <col min="1" max="1" width="4.42578125" style="90" customWidth="1"/>
    <col min="2" max="2" width="50.42578125" style="94" customWidth="1"/>
    <col min="3" max="3" width="12.28515625" style="90" customWidth="1"/>
    <col min="4" max="4" width="6" style="94" customWidth="1"/>
    <col min="5" max="5" width="5.7109375" style="94" customWidth="1"/>
    <col min="6" max="6" width="9.85546875" style="94" customWidth="1"/>
    <col min="7" max="7" width="12.28515625" style="94" customWidth="1"/>
    <col min="8" max="8" width="28.85546875" style="94" customWidth="1"/>
    <col min="9" max="9" width="10.7109375" style="94" customWidth="1"/>
    <col min="10" max="10" width="16.140625" style="94" customWidth="1"/>
    <col min="11" max="16384" width="9.140625" style="94"/>
  </cols>
  <sheetData>
    <row r="1" spans="1:11" ht="19.5" customHeight="1">
      <c r="B1" s="869" t="s">
        <v>529</v>
      </c>
      <c r="C1" s="869"/>
      <c r="D1" s="869"/>
      <c r="E1" s="728"/>
      <c r="F1" s="728"/>
      <c r="G1" s="728"/>
    </row>
    <row r="2" spans="1:11" ht="7.5" customHeight="1">
      <c r="B2" s="729"/>
      <c r="C2" s="730"/>
      <c r="D2" s="730"/>
      <c r="E2" s="730"/>
      <c r="F2" s="730"/>
      <c r="G2" s="729"/>
    </row>
    <row r="3" spans="1:11" ht="36.75" customHeight="1">
      <c r="B3" s="870" t="s">
        <v>530</v>
      </c>
      <c r="C3" s="870"/>
      <c r="D3" s="870"/>
      <c r="E3" s="870"/>
      <c r="F3" s="870"/>
      <c r="G3" s="870"/>
      <c r="K3" s="161"/>
    </row>
    <row r="4" spans="1:11" ht="8.25" customHeight="1">
      <c r="A4" s="731"/>
      <c r="B4" s="731"/>
      <c r="C4" s="731"/>
      <c r="D4" s="731"/>
      <c r="E4" s="731"/>
      <c r="F4" s="731"/>
      <c r="G4" s="731"/>
      <c r="K4" s="161"/>
    </row>
    <row r="5" spans="1:11" ht="15">
      <c r="A5" s="732"/>
      <c r="B5" s="732"/>
      <c r="C5" s="732"/>
      <c r="D5" s="732"/>
      <c r="E5" s="732"/>
      <c r="F5" s="871" t="s">
        <v>493</v>
      </c>
      <c r="G5" s="871"/>
    </row>
    <row r="6" spans="1:11" ht="31.5" customHeight="1">
      <c r="A6" s="872" t="s">
        <v>531</v>
      </c>
      <c r="B6" s="872" t="s">
        <v>532</v>
      </c>
      <c r="C6" s="872" t="s">
        <v>533</v>
      </c>
      <c r="D6" s="872" t="s">
        <v>534</v>
      </c>
      <c r="E6" s="874" t="s">
        <v>535</v>
      </c>
      <c r="F6" s="874"/>
      <c r="G6" s="874"/>
    </row>
    <row r="7" spans="1:11" ht="15" customHeight="1">
      <c r="A7" s="873"/>
      <c r="B7" s="873"/>
      <c r="C7" s="873"/>
      <c r="D7" s="873"/>
      <c r="E7" s="733" t="s">
        <v>9</v>
      </c>
      <c r="F7" s="733" t="s">
        <v>10</v>
      </c>
      <c r="G7" s="733" t="s">
        <v>11</v>
      </c>
    </row>
    <row r="8" spans="1:11" ht="14.25">
      <c r="A8" s="676">
        <v>1</v>
      </c>
      <c r="B8" s="676">
        <v>2</v>
      </c>
      <c r="C8" s="513">
        <v>3</v>
      </c>
      <c r="D8" s="513">
        <v>4</v>
      </c>
      <c r="E8" s="513">
        <v>5</v>
      </c>
      <c r="F8" s="616">
        <v>6</v>
      </c>
      <c r="G8" s="513">
        <v>7</v>
      </c>
    </row>
    <row r="9" spans="1:11" ht="27.75" customHeight="1">
      <c r="A9" s="734">
        <v>1</v>
      </c>
      <c r="B9" s="735" t="s">
        <v>536</v>
      </c>
      <c r="C9" s="736">
        <v>7130601958</v>
      </c>
      <c r="D9" s="737" t="s">
        <v>17</v>
      </c>
      <c r="E9" s="737" t="s">
        <v>537</v>
      </c>
      <c r="F9" s="25">
        <v>62.81</v>
      </c>
      <c r="G9" s="738">
        <f t="shared" ref="G9:G44" si="0">E9*F9</f>
        <v>605865.26</v>
      </c>
      <c r="H9" s="739"/>
    </row>
    <row r="10" spans="1:11" ht="27" customHeight="1">
      <c r="A10" s="734">
        <v>2</v>
      </c>
      <c r="B10" s="257" t="s">
        <v>538</v>
      </c>
      <c r="C10" s="736">
        <v>7130810512</v>
      </c>
      <c r="D10" s="734" t="s">
        <v>54</v>
      </c>
      <c r="E10" s="734">
        <v>30</v>
      </c>
      <c r="F10" s="740">
        <v>4899.4186027690112</v>
      </c>
      <c r="G10" s="738">
        <f t="shared" si="0"/>
        <v>146982.55808307033</v>
      </c>
    </row>
    <row r="11" spans="1:11" ht="27" customHeight="1">
      <c r="A11" s="734">
        <v>3</v>
      </c>
      <c r="B11" s="366" t="s">
        <v>539</v>
      </c>
      <c r="C11" s="736">
        <v>7130820312</v>
      </c>
      <c r="D11" s="734" t="s">
        <v>54</v>
      </c>
      <c r="E11" s="734">
        <v>60</v>
      </c>
      <c r="F11" s="741">
        <v>2612.2399999999998</v>
      </c>
      <c r="G11" s="738">
        <f t="shared" si="0"/>
        <v>156734.39999999999</v>
      </c>
    </row>
    <row r="12" spans="1:11" ht="17.25" customHeight="1">
      <c r="A12" s="734">
        <v>4</v>
      </c>
      <c r="B12" s="742" t="s">
        <v>540</v>
      </c>
      <c r="C12" s="743">
        <v>7130820013</v>
      </c>
      <c r="D12" s="734" t="s">
        <v>136</v>
      </c>
      <c r="E12" s="734">
        <v>180</v>
      </c>
      <c r="F12" s="744">
        <v>204.36</v>
      </c>
      <c r="G12" s="738">
        <f t="shared" si="0"/>
        <v>36784.800000000003</v>
      </c>
      <c r="H12" s="589"/>
      <c r="I12" s="590"/>
      <c r="J12" s="745"/>
    </row>
    <row r="13" spans="1:11" ht="17.25" customHeight="1">
      <c r="A13" s="734">
        <v>5</v>
      </c>
      <c r="B13" s="746" t="s">
        <v>541</v>
      </c>
      <c r="C13" s="736">
        <v>7130870013</v>
      </c>
      <c r="D13" s="734" t="s">
        <v>136</v>
      </c>
      <c r="E13" s="734">
        <v>20</v>
      </c>
      <c r="F13" s="24">
        <v>149.30000000000001</v>
      </c>
      <c r="G13" s="738">
        <f t="shared" si="0"/>
        <v>2986</v>
      </c>
    </row>
    <row r="14" spans="1:11" ht="15" customHeight="1">
      <c r="A14" s="734">
        <v>6</v>
      </c>
      <c r="B14" s="257" t="s">
        <v>542</v>
      </c>
      <c r="C14" s="736">
        <v>7130830070</v>
      </c>
      <c r="D14" s="734" t="s">
        <v>205</v>
      </c>
      <c r="E14" s="734">
        <v>3150</v>
      </c>
      <c r="F14" s="740">
        <v>223.12</v>
      </c>
      <c r="G14" s="738">
        <f t="shared" si="0"/>
        <v>702828</v>
      </c>
    </row>
    <row r="15" spans="1:11" ht="16.5" customHeight="1">
      <c r="A15" s="734">
        <v>7</v>
      </c>
      <c r="B15" s="746" t="s">
        <v>543</v>
      </c>
      <c r="C15" s="736">
        <v>7130830971</v>
      </c>
      <c r="D15" s="734" t="s">
        <v>136</v>
      </c>
      <c r="E15" s="734">
        <v>6</v>
      </c>
      <c r="F15" s="747">
        <v>286.33</v>
      </c>
      <c r="G15" s="738">
        <f t="shared" si="0"/>
        <v>1717.98</v>
      </c>
    </row>
    <row r="16" spans="1:11" ht="16.5" customHeight="1">
      <c r="A16" s="734">
        <v>8</v>
      </c>
      <c r="B16" s="257" t="s">
        <v>544</v>
      </c>
      <c r="C16" s="736">
        <v>7130860033</v>
      </c>
      <c r="D16" s="734" t="s">
        <v>545</v>
      </c>
      <c r="E16" s="734">
        <v>12</v>
      </c>
      <c r="F16" s="24">
        <v>986.29</v>
      </c>
      <c r="G16" s="738">
        <f t="shared" si="0"/>
        <v>11835.48</v>
      </c>
    </row>
    <row r="17" spans="1:9" ht="16.5" customHeight="1">
      <c r="A17" s="734">
        <v>9</v>
      </c>
      <c r="B17" s="735" t="s">
        <v>361</v>
      </c>
      <c r="C17" s="743">
        <v>7130810692</v>
      </c>
      <c r="D17" s="737" t="s">
        <v>23</v>
      </c>
      <c r="E17" s="734">
        <v>100</v>
      </c>
      <c r="F17" s="25">
        <v>447.87</v>
      </c>
      <c r="G17" s="738">
        <f t="shared" si="0"/>
        <v>44787</v>
      </c>
    </row>
    <row r="18" spans="1:9" ht="16.5" customHeight="1">
      <c r="A18" s="734">
        <v>10</v>
      </c>
      <c r="B18" s="257" t="s">
        <v>546</v>
      </c>
      <c r="C18" s="736">
        <v>7130860076</v>
      </c>
      <c r="D18" s="734" t="s">
        <v>547</v>
      </c>
      <c r="E18" s="734">
        <v>170</v>
      </c>
      <c r="F18" s="24">
        <v>90.68</v>
      </c>
      <c r="G18" s="738">
        <f t="shared" si="0"/>
        <v>15415.6</v>
      </c>
    </row>
    <row r="19" spans="1:9" ht="41.25" customHeight="1">
      <c r="A19" s="334">
        <v>11</v>
      </c>
      <c r="B19" s="366" t="s">
        <v>548</v>
      </c>
      <c r="C19" s="736">
        <v>7130200202</v>
      </c>
      <c r="D19" s="734" t="s">
        <v>549</v>
      </c>
      <c r="E19" s="734">
        <f>(0.65*20)+(0.3*14)</f>
        <v>17.2</v>
      </c>
      <c r="F19" s="740">
        <v>2970</v>
      </c>
      <c r="G19" s="738">
        <f>E19*F19</f>
        <v>51084</v>
      </c>
      <c r="H19" s="748" t="s">
        <v>37</v>
      </c>
    </row>
    <row r="20" spans="1:9" ht="15" customHeight="1">
      <c r="A20" s="749">
        <v>12</v>
      </c>
      <c r="B20" s="366" t="s">
        <v>38</v>
      </c>
      <c r="C20" s="736">
        <v>7130211158</v>
      </c>
      <c r="D20" s="734" t="s">
        <v>550</v>
      </c>
      <c r="E20" s="734">
        <v>26</v>
      </c>
      <c r="F20" s="24">
        <v>181.98</v>
      </c>
      <c r="G20" s="738">
        <f t="shared" si="0"/>
        <v>4731.4799999999996</v>
      </c>
    </row>
    <row r="21" spans="1:9" ht="15" customHeight="1">
      <c r="A21" s="749">
        <v>13</v>
      </c>
      <c r="B21" s="366" t="s">
        <v>40</v>
      </c>
      <c r="C21" s="736">
        <v>7130210809</v>
      </c>
      <c r="D21" s="734" t="s">
        <v>550</v>
      </c>
      <c r="E21" s="734">
        <v>26</v>
      </c>
      <c r="F21" s="24">
        <v>406.6</v>
      </c>
      <c r="G21" s="738">
        <f t="shared" si="0"/>
        <v>10571.6</v>
      </c>
    </row>
    <row r="22" spans="1:9" ht="15" customHeight="1">
      <c r="A22" s="749">
        <v>14</v>
      </c>
      <c r="B22" s="735" t="s">
        <v>41</v>
      </c>
      <c r="C22" s="743">
        <v>7130610206</v>
      </c>
      <c r="D22" s="734" t="s">
        <v>547</v>
      </c>
      <c r="E22" s="734">
        <v>40</v>
      </c>
      <c r="F22" s="24">
        <v>106.03</v>
      </c>
      <c r="G22" s="738">
        <f t="shared" si="0"/>
        <v>4241.2</v>
      </c>
      <c r="H22" s="701"/>
      <c r="I22" s="745"/>
    </row>
    <row r="23" spans="1:9" ht="15" customHeight="1">
      <c r="A23" s="749">
        <v>15</v>
      </c>
      <c r="B23" s="366" t="s">
        <v>513</v>
      </c>
      <c r="C23" s="736">
        <v>7130880041</v>
      </c>
      <c r="D23" s="734" t="s">
        <v>136</v>
      </c>
      <c r="E23" s="734">
        <v>20</v>
      </c>
      <c r="F23" s="24">
        <v>123.66</v>
      </c>
      <c r="G23" s="738">
        <f t="shared" si="0"/>
        <v>2473.1999999999998</v>
      </c>
    </row>
    <row r="24" spans="1:9" ht="16.5" customHeight="1">
      <c r="A24" s="734">
        <v>16</v>
      </c>
      <c r="B24" s="257" t="s">
        <v>551</v>
      </c>
      <c r="C24" s="736">
        <v>7130830006</v>
      </c>
      <c r="D24" s="734" t="s">
        <v>547</v>
      </c>
      <c r="E24" s="734">
        <v>8</v>
      </c>
      <c r="F24" s="24">
        <v>204.16</v>
      </c>
      <c r="G24" s="738">
        <f t="shared" si="0"/>
        <v>1633.28</v>
      </c>
    </row>
    <row r="25" spans="1:9" ht="15" customHeight="1">
      <c r="A25" s="863">
        <v>17</v>
      </c>
      <c r="B25" s="366" t="s">
        <v>552</v>
      </c>
      <c r="C25" s="736"/>
      <c r="D25" s="734" t="s">
        <v>547</v>
      </c>
      <c r="E25" s="734">
        <f>SUM(E26:E32)</f>
        <v>123</v>
      </c>
      <c r="F25" s="738"/>
      <c r="G25" s="738"/>
    </row>
    <row r="26" spans="1:9" ht="15" customHeight="1">
      <c r="A26" s="864"/>
      <c r="B26" s="366" t="s">
        <v>515</v>
      </c>
      <c r="C26" s="736">
        <v>7130620609</v>
      </c>
      <c r="D26" s="734" t="s">
        <v>547</v>
      </c>
      <c r="E26" s="734">
        <v>2</v>
      </c>
      <c r="F26" s="512">
        <v>81.75</v>
      </c>
      <c r="G26" s="738">
        <f t="shared" si="0"/>
        <v>163.5</v>
      </c>
    </row>
    <row r="27" spans="1:9" ht="15" customHeight="1">
      <c r="A27" s="864"/>
      <c r="B27" s="366" t="s">
        <v>553</v>
      </c>
      <c r="C27" s="736">
        <v>7130620614</v>
      </c>
      <c r="D27" s="734" t="s">
        <v>547</v>
      </c>
      <c r="E27" s="734">
        <v>30</v>
      </c>
      <c r="F27" s="512">
        <v>80.39</v>
      </c>
      <c r="G27" s="738">
        <f t="shared" si="0"/>
        <v>2411.6999999999998</v>
      </c>
    </row>
    <row r="28" spans="1:9" ht="15" customHeight="1">
      <c r="A28" s="864"/>
      <c r="B28" s="366" t="s">
        <v>554</v>
      </c>
      <c r="C28" s="736">
        <v>7130620619</v>
      </c>
      <c r="D28" s="734" t="s">
        <v>547</v>
      </c>
      <c r="E28" s="734">
        <v>20</v>
      </c>
      <c r="F28" s="512">
        <v>80.39</v>
      </c>
      <c r="G28" s="738">
        <f t="shared" si="0"/>
        <v>1607.8</v>
      </c>
    </row>
    <row r="29" spans="1:9" ht="15" customHeight="1">
      <c r="A29" s="864"/>
      <c r="B29" s="366" t="s">
        <v>555</v>
      </c>
      <c r="C29" s="736">
        <v>7130620625</v>
      </c>
      <c r="D29" s="734" t="s">
        <v>547</v>
      </c>
      <c r="E29" s="734"/>
      <c r="F29" s="512">
        <v>79.02</v>
      </c>
      <c r="G29" s="738"/>
    </row>
    <row r="30" spans="1:9" ht="15" customHeight="1">
      <c r="A30" s="864"/>
      <c r="B30" s="366" t="s">
        <v>556</v>
      </c>
      <c r="C30" s="736">
        <v>7130620627</v>
      </c>
      <c r="D30" s="734" t="s">
        <v>547</v>
      </c>
      <c r="E30" s="734">
        <v>1</v>
      </c>
      <c r="F30" s="512">
        <v>79.02</v>
      </c>
      <c r="G30" s="738">
        <f t="shared" si="0"/>
        <v>79.02</v>
      </c>
    </row>
    <row r="31" spans="1:9" ht="15" customHeight="1">
      <c r="A31" s="864"/>
      <c r="B31" s="366" t="s">
        <v>557</v>
      </c>
      <c r="C31" s="736">
        <v>7130620631</v>
      </c>
      <c r="D31" s="734" t="s">
        <v>547</v>
      </c>
      <c r="E31" s="734"/>
      <c r="F31" s="512">
        <v>79.02</v>
      </c>
      <c r="G31" s="738"/>
    </row>
    <row r="32" spans="1:9" ht="15" customHeight="1">
      <c r="A32" s="865"/>
      <c r="B32" s="366" t="s">
        <v>558</v>
      </c>
      <c r="C32" s="736">
        <v>7130620637</v>
      </c>
      <c r="D32" s="734" t="s">
        <v>547</v>
      </c>
      <c r="E32" s="734">
        <v>70</v>
      </c>
      <c r="F32" s="512">
        <v>79.02</v>
      </c>
      <c r="G32" s="738">
        <f t="shared" si="0"/>
        <v>5531.4</v>
      </c>
    </row>
    <row r="33" spans="1:9" ht="15" customHeight="1">
      <c r="A33" s="734">
        <v>18</v>
      </c>
      <c r="B33" s="257" t="s">
        <v>559</v>
      </c>
      <c r="C33" s="736">
        <v>7130600032</v>
      </c>
      <c r="D33" s="734" t="s">
        <v>547</v>
      </c>
      <c r="E33" s="734">
        <v>435</v>
      </c>
      <c r="F33" s="740">
        <v>51.48</v>
      </c>
      <c r="G33" s="738">
        <f t="shared" si="0"/>
        <v>22393.8</v>
      </c>
    </row>
    <row r="34" spans="1:9" ht="15" customHeight="1">
      <c r="A34" s="749">
        <v>19</v>
      </c>
      <c r="B34" s="366" t="s">
        <v>560</v>
      </c>
      <c r="C34" s="736">
        <v>7130810624</v>
      </c>
      <c r="D34" s="734" t="s">
        <v>136</v>
      </c>
      <c r="E34" s="734">
        <v>120</v>
      </c>
      <c r="F34" s="24">
        <v>118.53</v>
      </c>
      <c r="G34" s="738">
        <f t="shared" si="0"/>
        <v>14223.6</v>
      </c>
    </row>
    <row r="35" spans="1:9" ht="15" customHeight="1">
      <c r="A35" s="866">
        <v>20</v>
      </c>
      <c r="B35" s="750" t="s">
        <v>561</v>
      </c>
      <c r="C35" s="751"/>
      <c r="D35" s="752"/>
      <c r="E35" s="752"/>
      <c r="F35" s="752"/>
      <c r="G35" s="753"/>
    </row>
    <row r="36" spans="1:9" ht="15" customHeight="1">
      <c r="A36" s="867"/>
      <c r="B36" s="366" t="s">
        <v>562</v>
      </c>
      <c r="C36" s="736">
        <v>7130870045</v>
      </c>
      <c r="D36" s="734" t="s">
        <v>547</v>
      </c>
      <c r="E36" s="734">
        <v>40</v>
      </c>
      <c r="F36" s="24">
        <v>87.81</v>
      </c>
      <c r="G36" s="738">
        <f t="shared" si="0"/>
        <v>3512.4</v>
      </c>
    </row>
    <row r="37" spans="1:9" ht="15" customHeight="1">
      <c r="A37" s="867"/>
      <c r="B37" s="366" t="s">
        <v>563</v>
      </c>
      <c r="C37" s="736">
        <v>7130870043</v>
      </c>
      <c r="D37" s="734" t="s">
        <v>547</v>
      </c>
      <c r="E37" s="734">
        <v>20</v>
      </c>
      <c r="F37" s="24">
        <v>87.81</v>
      </c>
      <c r="G37" s="738">
        <f t="shared" si="0"/>
        <v>1756.2</v>
      </c>
    </row>
    <row r="38" spans="1:9" ht="15" customHeight="1">
      <c r="A38" s="867"/>
      <c r="B38" s="366" t="s">
        <v>564</v>
      </c>
      <c r="C38" s="736">
        <v>7130897759</v>
      </c>
      <c r="D38" s="734" t="s">
        <v>54</v>
      </c>
      <c r="E38" s="734">
        <v>2</v>
      </c>
      <c r="F38" s="24">
        <v>4122.2299999999996</v>
      </c>
      <c r="G38" s="738">
        <f t="shared" si="0"/>
        <v>8244.4599999999991</v>
      </c>
    </row>
    <row r="39" spans="1:9" ht="15" customHeight="1">
      <c r="A39" s="867"/>
      <c r="B39" s="366" t="s">
        <v>565</v>
      </c>
      <c r="C39" s="736">
        <v>7130620637</v>
      </c>
      <c r="D39" s="734" t="s">
        <v>547</v>
      </c>
      <c r="E39" s="734">
        <v>5</v>
      </c>
      <c r="F39" s="24">
        <f>F32</f>
        <v>79.02</v>
      </c>
      <c r="G39" s="738">
        <f>E39*F39</f>
        <v>395.09999999999997</v>
      </c>
    </row>
    <row r="40" spans="1:9" ht="15" customHeight="1">
      <c r="A40" s="867"/>
      <c r="B40" s="366" t="s">
        <v>94</v>
      </c>
      <c r="C40" s="754">
        <v>7130620013</v>
      </c>
      <c r="D40" s="734" t="s">
        <v>14</v>
      </c>
      <c r="E40" s="734">
        <v>4</v>
      </c>
      <c r="F40" s="24">
        <v>146.26</v>
      </c>
      <c r="G40" s="738">
        <f t="shared" si="0"/>
        <v>585.04</v>
      </c>
    </row>
    <row r="41" spans="1:9" ht="15" customHeight="1">
      <c r="A41" s="867"/>
      <c r="B41" s="366" t="s">
        <v>95</v>
      </c>
      <c r="C41" s="734">
        <v>7130860033</v>
      </c>
      <c r="D41" s="734" t="s">
        <v>14</v>
      </c>
      <c r="E41" s="734">
        <v>2</v>
      </c>
      <c r="F41" s="24">
        <v>986.29</v>
      </c>
      <c r="G41" s="738">
        <f t="shared" si="0"/>
        <v>1972.58</v>
      </c>
    </row>
    <row r="42" spans="1:9" ht="15" customHeight="1">
      <c r="A42" s="867"/>
      <c r="B42" s="366" t="s">
        <v>566</v>
      </c>
      <c r="C42" s="736">
        <v>7130860076</v>
      </c>
      <c r="D42" s="734" t="s">
        <v>547</v>
      </c>
      <c r="E42" s="734">
        <v>17</v>
      </c>
      <c r="F42" s="24">
        <v>90.68</v>
      </c>
      <c r="G42" s="738">
        <f t="shared" si="0"/>
        <v>1541.5600000000002</v>
      </c>
    </row>
    <row r="43" spans="1:9" ht="15" customHeight="1">
      <c r="A43" s="867"/>
      <c r="B43" s="366" t="s">
        <v>567</v>
      </c>
      <c r="C43" s="743">
        <v>7130810692</v>
      </c>
      <c r="D43" s="737" t="s">
        <v>23</v>
      </c>
      <c r="E43" s="734">
        <v>2</v>
      </c>
      <c r="F43" s="24">
        <v>447.87</v>
      </c>
      <c r="G43" s="738">
        <f>E43*F43</f>
        <v>895.74</v>
      </c>
    </row>
    <row r="44" spans="1:9" ht="15" customHeight="1">
      <c r="A44" s="868"/>
      <c r="B44" s="366" t="s">
        <v>568</v>
      </c>
      <c r="C44" s="736">
        <v>7130620619</v>
      </c>
      <c r="D44" s="734" t="s">
        <v>547</v>
      </c>
      <c r="E44" s="734">
        <v>1</v>
      </c>
      <c r="F44" s="24">
        <v>80.39</v>
      </c>
      <c r="G44" s="738">
        <f t="shared" si="0"/>
        <v>80.39</v>
      </c>
    </row>
    <row r="45" spans="1:9" ht="15" customHeight="1">
      <c r="A45" s="755">
        <v>21</v>
      </c>
      <c r="B45" s="376" t="s">
        <v>62</v>
      </c>
      <c r="C45" s="736"/>
      <c r="D45" s="734"/>
      <c r="E45" s="734"/>
      <c r="F45" s="738"/>
      <c r="G45" s="292">
        <f>SUM(G9:G44)</f>
        <v>1866066.1280830705</v>
      </c>
    </row>
    <row r="46" spans="1:9" ht="15" customHeight="1">
      <c r="A46" s="756">
        <v>22</v>
      </c>
      <c r="B46" s="376" t="s">
        <v>63</v>
      </c>
      <c r="C46" s="736"/>
      <c r="D46" s="734"/>
      <c r="E46" s="734"/>
      <c r="F46" s="738"/>
      <c r="G46" s="292">
        <f>G45/1.18</f>
        <v>1581411.9729517547</v>
      </c>
      <c r="H46" s="712"/>
    </row>
    <row r="47" spans="1:9" ht="15.75" customHeight="1">
      <c r="A47" s="334">
        <v>23</v>
      </c>
      <c r="B47" s="735" t="s">
        <v>65</v>
      </c>
      <c r="C47" s="757"/>
      <c r="D47" s="757"/>
      <c r="E47" s="757"/>
      <c r="F47" s="758">
        <v>7.4999999999999997E-2</v>
      </c>
      <c r="G47" s="738">
        <f>G45*F47</f>
        <v>139954.95960623029</v>
      </c>
      <c r="H47" s="588"/>
    </row>
    <row r="48" spans="1:9" ht="16.5" customHeight="1">
      <c r="A48" s="734">
        <v>24</v>
      </c>
      <c r="B48" s="742" t="s">
        <v>69</v>
      </c>
      <c r="C48" s="736"/>
      <c r="D48" s="734" t="s">
        <v>70</v>
      </c>
      <c r="E48" s="734">
        <v>17.2</v>
      </c>
      <c r="F48" s="738">
        <f>609.17479416*1.055*1.035</f>
        <v>665.17318711315795</v>
      </c>
      <c r="G48" s="738">
        <f>E48*F48</f>
        <v>11440.978818346317</v>
      </c>
      <c r="H48" s="304"/>
      <c r="I48" s="759"/>
    </row>
    <row r="49" spans="1:10" ht="15" customHeight="1">
      <c r="A49" s="734">
        <v>25</v>
      </c>
      <c r="B49" s="746" t="s">
        <v>569</v>
      </c>
      <c r="C49" s="736"/>
      <c r="D49" s="734" t="s">
        <v>87</v>
      </c>
      <c r="E49" s="734">
        <v>1</v>
      </c>
      <c r="F49" s="738"/>
      <c r="G49" s="738">
        <v>156701.01824999999</v>
      </c>
    </row>
    <row r="50" spans="1:10" ht="16.5" customHeight="1">
      <c r="A50" s="734">
        <v>26</v>
      </c>
      <c r="B50" s="257" t="s">
        <v>494</v>
      </c>
      <c r="C50" s="736"/>
      <c r="D50" s="734"/>
      <c r="E50" s="734"/>
      <c r="F50" s="738"/>
      <c r="G50" s="760">
        <f>G46*0.04</f>
        <v>63256.478918070192</v>
      </c>
      <c r="H50" s="761" t="s">
        <v>128</v>
      </c>
      <c r="J50" s="213"/>
    </row>
    <row r="51" spans="1:10" ht="29.25" customHeight="1">
      <c r="A51" s="734">
        <v>27</v>
      </c>
      <c r="B51" s="735" t="s">
        <v>460</v>
      </c>
      <c r="C51" s="736"/>
      <c r="D51" s="734"/>
      <c r="E51" s="734"/>
      <c r="F51" s="738"/>
      <c r="G51" s="760">
        <f>(G45+G47+G48+G49+G50)*0.125</f>
        <v>279677.44545946462</v>
      </c>
      <c r="H51" s="762"/>
      <c r="J51" s="213"/>
    </row>
    <row r="52" spans="1:10" ht="30" customHeight="1">
      <c r="A52" s="755">
        <v>28</v>
      </c>
      <c r="B52" s="414" t="s">
        <v>461</v>
      </c>
      <c r="C52" s="736"/>
      <c r="D52" s="734"/>
      <c r="E52" s="734"/>
      <c r="F52" s="738"/>
      <c r="G52" s="292">
        <f>G46+G47+G48+G49+G50+G51</f>
        <v>2232442.8540038662</v>
      </c>
    </row>
    <row r="53" spans="1:10" ht="15" customHeight="1">
      <c r="A53" s="763">
        <v>29</v>
      </c>
      <c r="B53" s="735" t="s">
        <v>73</v>
      </c>
      <c r="C53" s="736"/>
      <c r="D53" s="734"/>
      <c r="E53" s="734"/>
      <c r="F53" s="738">
        <v>0.09</v>
      </c>
      <c r="G53" s="764">
        <f>G52*F53</f>
        <v>200919.85686034797</v>
      </c>
    </row>
    <row r="54" spans="1:10" ht="15" customHeight="1">
      <c r="A54" s="734">
        <v>30</v>
      </c>
      <c r="B54" s="735" t="s">
        <v>74</v>
      </c>
      <c r="C54" s="736"/>
      <c r="D54" s="734"/>
      <c r="E54" s="734"/>
      <c r="F54" s="738">
        <v>0.09</v>
      </c>
      <c r="G54" s="738">
        <f>G52*F54</f>
        <v>200919.85686034797</v>
      </c>
      <c r="H54" s="701"/>
      <c r="I54" s="745"/>
    </row>
    <row r="55" spans="1:10" ht="14.25" customHeight="1">
      <c r="A55" s="734">
        <v>31</v>
      </c>
      <c r="B55" s="735" t="s">
        <v>75</v>
      </c>
      <c r="C55" s="736"/>
      <c r="D55" s="257"/>
      <c r="E55" s="734"/>
      <c r="F55" s="738"/>
      <c r="G55" s="738">
        <f>G52+G53+G54</f>
        <v>2634282.5677245623</v>
      </c>
    </row>
    <row r="56" spans="1:10" ht="16.5" customHeight="1">
      <c r="A56" s="755">
        <v>32</v>
      </c>
      <c r="B56" s="414" t="s">
        <v>76</v>
      </c>
      <c r="C56" s="765"/>
      <c r="D56" s="252"/>
      <c r="E56" s="755"/>
      <c r="F56" s="292"/>
      <c r="G56" s="292">
        <f>ROUND(G55,0)</f>
        <v>2634283</v>
      </c>
    </row>
  </sheetData>
  <mergeCells count="10">
    <mergeCell ref="A25:A32"/>
    <mergeCell ref="A35:A44"/>
    <mergeCell ref="B1:D1"/>
    <mergeCell ref="B3:G3"/>
    <mergeCell ref="F5:G5"/>
    <mergeCell ref="A6:A7"/>
    <mergeCell ref="B6:B7"/>
    <mergeCell ref="C6:C7"/>
    <mergeCell ref="D6:D7"/>
    <mergeCell ref="E6:G6"/>
  </mergeCells>
  <conditionalFormatting sqref="B45">
    <cfRule type="cellIs" dxfId="12" priority="2" stopIfTrue="1" operator="equal">
      <formula>"?"</formula>
    </cfRule>
  </conditionalFormatting>
  <conditionalFormatting sqref="B46">
    <cfRule type="cellIs" dxfId="11" priority="1" stopIfTrue="1" operator="equal">
      <formula>"?"</formula>
    </cfRule>
  </conditionalFormatting>
  <printOptions horizontalCentered="1"/>
  <pageMargins left="0.7" right="0.196850393700787" top="0.62992125984252001" bottom="0.33" header="0.511811023622047" footer="0.16"/>
  <pageSetup paperSize="9" scale="13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K75"/>
  <sheetViews>
    <sheetView zoomScale="89" zoomScaleNormal="89" workbookViewId="0">
      <pane xSplit="2" ySplit="9" topLeftCell="C37" activePane="bottomRight" state="frozen"/>
      <selection pane="topRight" activeCell="C1" sqref="C1"/>
      <selection pane="bottomLeft" activeCell="A10" sqref="A10"/>
      <selection pane="bottomRight" activeCell="F43" sqref="F43"/>
    </sheetView>
  </sheetViews>
  <sheetFormatPr defaultRowHeight="15"/>
  <cols>
    <col min="1" max="1" width="4.85546875" style="769" customWidth="1"/>
    <col min="2" max="2" width="72.42578125" style="769" customWidth="1"/>
    <col min="3" max="3" width="13.85546875" style="769" customWidth="1"/>
    <col min="4" max="4" width="6.7109375" style="769" customWidth="1"/>
    <col min="5" max="5" width="10.7109375" style="769" customWidth="1"/>
    <col min="6" max="6" width="7.140625" style="769" customWidth="1"/>
    <col min="7" max="7" width="13.7109375" style="769" customWidth="1"/>
    <col min="8" max="8" width="13.85546875" style="769" customWidth="1"/>
    <col min="9" max="9" width="20.7109375" style="769" customWidth="1"/>
    <col min="10" max="10" width="9.140625" style="769"/>
    <col min="11" max="11" width="15.5703125" style="769" customWidth="1"/>
    <col min="12" max="16384" width="9.140625" style="769"/>
  </cols>
  <sheetData>
    <row r="1" spans="1:9" ht="18">
      <c r="A1" s="766"/>
      <c r="B1" s="884" t="s">
        <v>570</v>
      </c>
      <c r="C1" s="884"/>
      <c r="D1" s="884"/>
      <c r="E1" s="884"/>
      <c r="F1" s="767"/>
      <c r="G1" s="768"/>
      <c r="H1" s="768"/>
    </row>
    <row r="2" spans="1:9" ht="9" customHeight="1">
      <c r="A2" s="770"/>
      <c r="B2" s="770"/>
      <c r="C2" s="770"/>
      <c r="D2" s="770"/>
      <c r="E2" s="770"/>
      <c r="F2" s="770"/>
      <c r="G2" s="770"/>
      <c r="H2" s="770"/>
    </row>
    <row r="3" spans="1:9" ht="36.75" customHeight="1">
      <c r="A3" s="771"/>
      <c r="B3" s="885" t="s">
        <v>571</v>
      </c>
      <c r="C3" s="885"/>
      <c r="D3" s="885"/>
      <c r="E3" s="885"/>
      <c r="F3" s="885"/>
      <c r="G3" s="885"/>
      <c r="H3" s="771"/>
    </row>
    <row r="4" spans="1:9" ht="12" customHeight="1">
      <c r="A4" s="772"/>
      <c r="B4" s="772"/>
      <c r="C4" s="772"/>
      <c r="D4" s="772"/>
      <c r="E4" s="772"/>
      <c r="F4" s="772"/>
      <c r="G4" s="772"/>
      <c r="H4" s="772"/>
    </row>
    <row r="5" spans="1:9" ht="15.75">
      <c r="A5" s="773"/>
      <c r="B5" s="773"/>
      <c r="C5" s="773"/>
      <c r="D5" s="773"/>
      <c r="F5" s="773"/>
      <c r="G5" s="774" t="s">
        <v>493</v>
      </c>
      <c r="H5" s="775"/>
    </row>
    <row r="6" spans="1:9" ht="9" customHeight="1">
      <c r="A6" s="773"/>
      <c r="B6" s="773"/>
      <c r="C6" s="773"/>
      <c r="D6" s="773"/>
      <c r="E6" s="773"/>
      <c r="F6" s="773"/>
      <c r="G6" s="776"/>
      <c r="H6" s="776"/>
    </row>
    <row r="7" spans="1:9" ht="46.5" customHeight="1">
      <c r="A7" s="875" t="s">
        <v>105</v>
      </c>
      <c r="B7" s="877" t="s">
        <v>3</v>
      </c>
      <c r="C7" s="879" t="s">
        <v>4</v>
      </c>
      <c r="D7" s="877" t="s">
        <v>5</v>
      </c>
      <c r="E7" s="877" t="s">
        <v>10</v>
      </c>
      <c r="F7" s="877" t="s">
        <v>110</v>
      </c>
      <c r="G7" s="777" t="s">
        <v>572</v>
      </c>
      <c r="H7" s="777" t="s">
        <v>573</v>
      </c>
    </row>
    <row r="8" spans="1:9">
      <c r="A8" s="876"/>
      <c r="B8" s="878"/>
      <c r="C8" s="880"/>
      <c r="D8" s="878"/>
      <c r="E8" s="878"/>
      <c r="F8" s="878"/>
      <c r="G8" s="778" t="s">
        <v>429</v>
      </c>
      <c r="H8" s="778" t="s">
        <v>429</v>
      </c>
    </row>
    <row r="9" spans="1:9">
      <c r="A9" s="779">
        <v>1</v>
      </c>
      <c r="B9" s="779">
        <v>2</v>
      </c>
      <c r="C9" s="779">
        <v>3</v>
      </c>
      <c r="D9" s="779">
        <v>4</v>
      </c>
      <c r="E9" s="779">
        <v>5</v>
      </c>
      <c r="F9" s="779">
        <v>6</v>
      </c>
      <c r="G9" s="779">
        <v>7</v>
      </c>
      <c r="H9" s="779">
        <v>8</v>
      </c>
    </row>
    <row r="10" spans="1:9" ht="17.25" customHeight="1">
      <c r="A10" s="780">
        <v>1</v>
      </c>
      <c r="B10" s="781" t="s">
        <v>574</v>
      </c>
      <c r="C10" s="782">
        <v>7130310075</v>
      </c>
      <c r="D10" s="780" t="s">
        <v>29</v>
      </c>
      <c r="E10" s="105">
        <v>2700.49</v>
      </c>
      <c r="F10" s="780">
        <v>1040</v>
      </c>
      <c r="G10" s="783">
        <f>E10*F10</f>
        <v>2808509.5999999996</v>
      </c>
      <c r="H10" s="783"/>
    </row>
    <row r="11" spans="1:9" ht="17.25" customHeight="1">
      <c r="A11" s="780">
        <v>2</v>
      </c>
      <c r="B11" s="781" t="s">
        <v>575</v>
      </c>
      <c r="C11" s="782">
        <v>7130310020</v>
      </c>
      <c r="D11" s="780" t="s">
        <v>29</v>
      </c>
      <c r="E11" s="105">
        <v>2951.14</v>
      </c>
      <c r="F11" s="780">
        <v>1040</v>
      </c>
      <c r="G11" s="783"/>
      <c r="H11" s="783">
        <f>E11*F11</f>
        <v>3069185.6</v>
      </c>
    </row>
    <row r="12" spans="1:9" ht="32.25" customHeight="1">
      <c r="A12" s="780">
        <v>3</v>
      </c>
      <c r="B12" s="784" t="s">
        <v>576</v>
      </c>
      <c r="C12" s="782">
        <v>7130310089</v>
      </c>
      <c r="D12" s="780" t="s">
        <v>54</v>
      </c>
      <c r="E12" s="744">
        <v>70050.259999999995</v>
      </c>
      <c r="F12" s="780">
        <v>2</v>
      </c>
      <c r="G12" s="783">
        <f>E12*F12</f>
        <v>140100.51999999999</v>
      </c>
      <c r="H12" s="783"/>
      <c r="I12" s="785"/>
    </row>
    <row r="13" spans="1:9" ht="30.75" customHeight="1">
      <c r="A13" s="780">
        <v>4</v>
      </c>
      <c r="B13" s="784" t="s">
        <v>577</v>
      </c>
      <c r="C13" s="786">
        <v>7130310090</v>
      </c>
      <c r="D13" s="780" t="s">
        <v>14</v>
      </c>
      <c r="E13" s="744">
        <v>78444</v>
      </c>
      <c r="F13" s="780">
        <v>2</v>
      </c>
      <c r="G13" s="783"/>
      <c r="H13" s="783">
        <f>E13*F13</f>
        <v>156888</v>
      </c>
      <c r="I13" s="785"/>
    </row>
    <row r="14" spans="1:9" ht="17.25" customHeight="1">
      <c r="A14" s="780">
        <v>5</v>
      </c>
      <c r="B14" s="787" t="s">
        <v>578</v>
      </c>
      <c r="C14" s="788">
        <v>7130352037</v>
      </c>
      <c r="D14" s="780" t="s">
        <v>54</v>
      </c>
      <c r="E14" s="744">
        <v>28226.94</v>
      </c>
      <c r="F14" s="780">
        <v>2</v>
      </c>
      <c r="G14" s="783">
        <f>E14*F14</f>
        <v>56453.88</v>
      </c>
      <c r="H14" s="783"/>
      <c r="I14" s="789"/>
    </row>
    <row r="15" spans="1:9" ht="17.25" customHeight="1">
      <c r="A15" s="780">
        <v>6</v>
      </c>
      <c r="B15" s="787" t="s">
        <v>579</v>
      </c>
      <c r="C15" s="788">
        <v>7130352010</v>
      </c>
      <c r="D15" s="780" t="s">
        <v>54</v>
      </c>
      <c r="E15" s="744">
        <v>41869.07</v>
      </c>
      <c r="F15" s="780">
        <v>2</v>
      </c>
      <c r="G15" s="783"/>
      <c r="H15" s="783">
        <f t="shared" ref="H15:H25" si="0">E15*F15</f>
        <v>83738.14</v>
      </c>
      <c r="I15" s="789"/>
    </row>
    <row r="16" spans="1:9" ht="17.25" customHeight="1">
      <c r="A16" s="780">
        <v>7</v>
      </c>
      <c r="B16" s="784" t="s">
        <v>580</v>
      </c>
      <c r="C16" s="788">
        <v>7130640027</v>
      </c>
      <c r="D16" s="780" t="s">
        <v>139</v>
      </c>
      <c r="E16" s="790">
        <v>1345.87</v>
      </c>
      <c r="F16" s="780">
        <v>10</v>
      </c>
      <c r="G16" s="783">
        <f t="shared" ref="G16:G25" si="1">E16*F16</f>
        <v>13458.699999999999</v>
      </c>
      <c r="H16" s="783">
        <f t="shared" si="0"/>
        <v>13458.699999999999</v>
      </c>
      <c r="I16" s="789"/>
    </row>
    <row r="17" spans="1:9" ht="17.25" customHeight="1">
      <c r="A17" s="780">
        <v>8</v>
      </c>
      <c r="B17" s="784" t="s">
        <v>581</v>
      </c>
      <c r="C17" s="791">
        <v>7130870043</v>
      </c>
      <c r="D17" s="780" t="s">
        <v>17</v>
      </c>
      <c r="E17" s="783">
        <v>87.81</v>
      </c>
      <c r="F17" s="780">
        <v>5</v>
      </c>
      <c r="G17" s="783">
        <f>E17*F17</f>
        <v>439.05</v>
      </c>
      <c r="H17" s="783">
        <f>E17*F17</f>
        <v>439.05</v>
      </c>
      <c r="I17" s="789"/>
    </row>
    <row r="18" spans="1:9" ht="45" customHeight="1">
      <c r="A18" s="780">
        <v>9</v>
      </c>
      <c r="B18" s="787" t="s">
        <v>582</v>
      </c>
      <c r="C18" s="788"/>
      <c r="D18" s="780" t="s">
        <v>14</v>
      </c>
      <c r="E18" s="792">
        <v>556</v>
      </c>
      <c r="F18" s="780">
        <v>20</v>
      </c>
      <c r="G18" s="783">
        <f t="shared" si="1"/>
        <v>11120</v>
      </c>
      <c r="H18" s="783">
        <f t="shared" si="0"/>
        <v>11120</v>
      </c>
      <c r="I18" s="789"/>
    </row>
    <row r="19" spans="1:9" ht="18.75" customHeight="1">
      <c r="A19" s="780">
        <v>10</v>
      </c>
      <c r="B19" s="793" t="s">
        <v>583</v>
      </c>
      <c r="C19" s="780">
        <v>7130201343</v>
      </c>
      <c r="D19" s="780" t="s">
        <v>14</v>
      </c>
      <c r="E19" s="783">
        <v>33</v>
      </c>
      <c r="F19" s="780">
        <v>4000</v>
      </c>
      <c r="G19" s="783">
        <f t="shared" si="1"/>
        <v>132000</v>
      </c>
      <c r="H19" s="783">
        <f t="shared" si="0"/>
        <v>132000</v>
      </c>
      <c r="I19" s="789"/>
    </row>
    <row r="20" spans="1:9" ht="32.25" customHeight="1">
      <c r="A20" s="780">
        <v>11</v>
      </c>
      <c r="B20" s="794" t="s">
        <v>584</v>
      </c>
      <c r="C20" s="780">
        <v>7132498006</v>
      </c>
      <c r="D20" s="780" t="s">
        <v>70</v>
      </c>
      <c r="E20" s="790">
        <v>735</v>
      </c>
      <c r="F20" s="780">
        <v>150</v>
      </c>
      <c r="G20" s="783">
        <f t="shared" si="1"/>
        <v>110250</v>
      </c>
      <c r="H20" s="783">
        <f t="shared" si="0"/>
        <v>110250</v>
      </c>
      <c r="I20" s="789"/>
    </row>
    <row r="21" spans="1:9" ht="17.25" customHeight="1">
      <c r="A21" s="780">
        <v>12</v>
      </c>
      <c r="B21" s="794" t="s">
        <v>168</v>
      </c>
      <c r="C21" s="795">
        <v>7130840021</v>
      </c>
      <c r="D21" s="796" t="s">
        <v>125</v>
      </c>
      <c r="E21" s="747">
        <v>3233.2</v>
      </c>
      <c r="F21" s="780">
        <v>6</v>
      </c>
      <c r="G21" s="783">
        <f t="shared" si="1"/>
        <v>19399.199999999997</v>
      </c>
      <c r="H21" s="783">
        <f t="shared" si="0"/>
        <v>19399.199999999997</v>
      </c>
      <c r="I21" s="789"/>
    </row>
    <row r="22" spans="1:9" ht="18" customHeight="1">
      <c r="A22" s="780">
        <v>13</v>
      </c>
      <c r="B22" s="793" t="s">
        <v>585</v>
      </c>
      <c r="C22" s="795">
        <v>7130830060</v>
      </c>
      <c r="D22" s="796" t="s">
        <v>29</v>
      </c>
      <c r="E22" s="105">
        <v>76.319999999999993</v>
      </c>
      <c r="F22" s="780">
        <v>18</v>
      </c>
      <c r="G22" s="783">
        <f t="shared" si="1"/>
        <v>1373.7599999999998</v>
      </c>
      <c r="H22" s="783">
        <f t="shared" si="0"/>
        <v>1373.7599999999998</v>
      </c>
      <c r="I22" s="789"/>
    </row>
    <row r="23" spans="1:9" ht="18.75" customHeight="1">
      <c r="A23" s="780">
        <v>14</v>
      </c>
      <c r="B23" s="793" t="s">
        <v>586</v>
      </c>
      <c r="C23" s="795">
        <v>7130830585</v>
      </c>
      <c r="D23" s="796" t="s">
        <v>136</v>
      </c>
      <c r="E23" s="747">
        <v>350.63</v>
      </c>
      <c r="F23" s="780">
        <v>6</v>
      </c>
      <c r="G23" s="783">
        <f t="shared" si="1"/>
        <v>2103.7799999999997</v>
      </c>
      <c r="H23" s="783">
        <f t="shared" si="0"/>
        <v>2103.7799999999997</v>
      </c>
      <c r="I23" s="789"/>
    </row>
    <row r="24" spans="1:9" ht="36.75" customHeight="1">
      <c r="A24" s="780">
        <v>15</v>
      </c>
      <c r="B24" s="787" t="s">
        <v>587</v>
      </c>
      <c r="C24" s="780">
        <v>7130642039</v>
      </c>
      <c r="D24" s="780" t="s">
        <v>14</v>
      </c>
      <c r="E24" s="747">
        <v>1058.93</v>
      </c>
      <c r="F24" s="780">
        <v>2</v>
      </c>
      <c r="G24" s="783">
        <f t="shared" si="1"/>
        <v>2117.86</v>
      </c>
      <c r="H24" s="783">
        <f t="shared" si="0"/>
        <v>2117.86</v>
      </c>
      <c r="I24" s="789"/>
    </row>
    <row r="25" spans="1:9" ht="24.75" customHeight="1">
      <c r="A25" s="780">
        <v>16</v>
      </c>
      <c r="B25" s="787" t="s">
        <v>588</v>
      </c>
      <c r="C25" s="797" t="s">
        <v>589</v>
      </c>
      <c r="D25" s="780" t="s">
        <v>17</v>
      </c>
      <c r="E25" s="783">
        <v>79.02</v>
      </c>
      <c r="F25" s="780">
        <v>3</v>
      </c>
      <c r="G25" s="783">
        <f t="shared" si="1"/>
        <v>237.06</v>
      </c>
      <c r="H25" s="783">
        <f t="shared" si="0"/>
        <v>237.06</v>
      </c>
    </row>
    <row r="26" spans="1:9" ht="18.75" customHeight="1">
      <c r="A26" s="780">
        <v>17</v>
      </c>
      <c r="B26" s="787" t="s">
        <v>590</v>
      </c>
      <c r="C26" s="780">
        <v>7132498054</v>
      </c>
      <c r="D26" s="780" t="s">
        <v>14</v>
      </c>
      <c r="E26" s="744">
        <v>6.39</v>
      </c>
      <c r="F26" s="780">
        <v>4400</v>
      </c>
      <c r="G26" s="783">
        <f>E26*F26</f>
        <v>28116</v>
      </c>
      <c r="H26" s="783">
        <f>E26*F26</f>
        <v>28116</v>
      </c>
      <c r="I26" s="785"/>
    </row>
    <row r="27" spans="1:9" ht="60" customHeight="1">
      <c r="A27" s="798">
        <v>18</v>
      </c>
      <c r="B27" s="784" t="s">
        <v>591</v>
      </c>
      <c r="C27" s="799"/>
      <c r="D27" s="798" t="s">
        <v>247</v>
      </c>
      <c r="E27" s="800" t="s">
        <v>247</v>
      </c>
      <c r="F27" s="798" t="s">
        <v>247</v>
      </c>
      <c r="G27" s="800">
        <v>25000</v>
      </c>
      <c r="H27" s="800">
        <v>25000</v>
      </c>
    </row>
    <row r="28" spans="1:9" ht="20.25" customHeight="1">
      <c r="A28" s="801">
        <v>19</v>
      </c>
      <c r="B28" s="119" t="s">
        <v>62</v>
      </c>
      <c r="C28" s="802"/>
      <c r="D28" s="803"/>
      <c r="E28" s="804"/>
      <c r="F28" s="804"/>
      <c r="G28" s="805">
        <f>SUM(G10:G27)</f>
        <v>3350679.4099999992</v>
      </c>
      <c r="H28" s="805">
        <f>SUM(H10:H27)</f>
        <v>3655427.15</v>
      </c>
    </row>
    <row r="29" spans="1:9" ht="20.25" customHeight="1">
      <c r="A29" s="801">
        <v>20</v>
      </c>
      <c r="B29" s="119" t="s">
        <v>63</v>
      </c>
      <c r="C29" s="802"/>
      <c r="D29" s="806"/>
      <c r="E29" s="804"/>
      <c r="F29" s="807"/>
      <c r="G29" s="805">
        <f>G28/1.18</f>
        <v>2839558.822033898</v>
      </c>
      <c r="H29" s="805">
        <f>H28/1.18</f>
        <v>3097819.618644068</v>
      </c>
      <c r="I29" s="48"/>
    </row>
    <row r="30" spans="1:9" ht="20.25" customHeight="1">
      <c r="A30" s="780">
        <v>21</v>
      </c>
      <c r="B30" s="129" t="s">
        <v>65</v>
      </c>
      <c r="C30" s="808"/>
      <c r="D30" s="809"/>
      <c r="E30" s="796">
        <v>7.4999999999999997E-2</v>
      </c>
      <c r="F30" s="810"/>
      <c r="G30" s="811">
        <f>G28*E30</f>
        <v>251300.95574999994</v>
      </c>
      <c r="H30" s="811">
        <f>H28*E30</f>
        <v>274157.03625</v>
      </c>
      <c r="I30" s="570"/>
    </row>
    <row r="31" spans="1:9" ht="20.25" customHeight="1">
      <c r="A31" s="780">
        <v>22</v>
      </c>
      <c r="B31" s="787" t="s">
        <v>592</v>
      </c>
      <c r="C31" s="812"/>
      <c r="D31" s="780" t="s">
        <v>14</v>
      </c>
      <c r="E31" s="811">
        <f>2765.8821741288*1.055*1.035</f>
        <v>3020.1358929855896</v>
      </c>
      <c r="F31" s="796">
        <v>10</v>
      </c>
      <c r="G31" s="783">
        <f>E31*F31</f>
        <v>30201.358929855895</v>
      </c>
      <c r="H31" s="783">
        <f>E31*F31</f>
        <v>30201.358929855895</v>
      </c>
    </row>
    <row r="32" spans="1:9" ht="33.75" customHeight="1">
      <c r="A32" s="780">
        <v>23</v>
      </c>
      <c r="B32" s="787" t="s">
        <v>593</v>
      </c>
      <c r="C32" s="787"/>
      <c r="D32" s="796"/>
      <c r="E32" s="783"/>
      <c r="F32" s="780"/>
      <c r="G32" s="813">
        <v>711758.01150000002</v>
      </c>
      <c r="H32" s="813">
        <v>711758.01150000002</v>
      </c>
    </row>
    <row r="33" spans="1:11" ht="20.25" customHeight="1">
      <c r="A33" s="780">
        <v>24</v>
      </c>
      <c r="B33" s="787" t="s">
        <v>594</v>
      </c>
      <c r="C33" s="814"/>
      <c r="D33" s="814"/>
      <c r="E33" s="815"/>
      <c r="F33" s="815"/>
      <c r="G33" s="106">
        <f>G29*0.04</f>
        <v>113582.35288135592</v>
      </c>
      <c r="H33" s="106">
        <f>H29*0.04</f>
        <v>123912.78474576272</v>
      </c>
      <c r="I33" s="816" t="s">
        <v>128</v>
      </c>
      <c r="K33" s="213"/>
    </row>
    <row r="34" spans="1:11" ht="32.25" customHeight="1">
      <c r="A34" s="780">
        <v>25</v>
      </c>
      <c r="B34" s="129" t="s">
        <v>595</v>
      </c>
      <c r="C34" s="814"/>
      <c r="D34" s="814"/>
      <c r="E34" s="815"/>
      <c r="F34" s="815"/>
      <c r="G34" s="106">
        <f>(G28+G30+G31+G32+G33)*0.125</f>
        <v>557190.26113265136</v>
      </c>
      <c r="H34" s="106">
        <f>(H28+H30+H31+H32+H33)*0.125</f>
        <v>599432.04267820239</v>
      </c>
      <c r="I34" s="817"/>
      <c r="K34" s="213"/>
    </row>
    <row r="35" spans="1:11" ht="20.25" customHeight="1">
      <c r="A35" s="801">
        <v>26</v>
      </c>
      <c r="B35" s="144" t="s">
        <v>596</v>
      </c>
      <c r="C35" s="814"/>
      <c r="D35" s="814"/>
      <c r="E35" s="815"/>
      <c r="F35" s="815"/>
      <c r="G35" s="813">
        <f>G29+G30+G31+G32+G33+G34</f>
        <v>4503591.7622277606</v>
      </c>
      <c r="H35" s="813">
        <f>H29+H30+H31+H32+H33+H34</f>
        <v>4837280.8527478892</v>
      </c>
      <c r="K35" s="818"/>
    </row>
    <row r="36" spans="1:11" ht="20.25" customHeight="1">
      <c r="A36" s="780">
        <v>27</v>
      </c>
      <c r="B36" s="129" t="s">
        <v>597</v>
      </c>
      <c r="C36" s="814"/>
      <c r="D36" s="814"/>
      <c r="E36" s="780">
        <v>0.09</v>
      </c>
      <c r="F36" s="815"/>
      <c r="G36" s="811">
        <f>G35*E36</f>
        <v>405323.25860049843</v>
      </c>
      <c r="H36" s="811">
        <f>H35*E36</f>
        <v>435355.27674731001</v>
      </c>
      <c r="K36" s="818"/>
    </row>
    <row r="37" spans="1:11" ht="18" customHeight="1">
      <c r="A37" s="780">
        <v>28</v>
      </c>
      <c r="B37" s="129" t="s">
        <v>598</v>
      </c>
      <c r="C37" s="814"/>
      <c r="D37" s="814"/>
      <c r="E37" s="780">
        <v>0.09</v>
      </c>
      <c r="F37" s="815"/>
      <c r="G37" s="811">
        <f>G35*E37</f>
        <v>405323.25860049843</v>
      </c>
      <c r="H37" s="811">
        <f>H35*E37</f>
        <v>435355.27674731001</v>
      </c>
      <c r="K37" s="818"/>
    </row>
    <row r="38" spans="1:11" ht="31.5" customHeight="1">
      <c r="A38" s="780">
        <v>29</v>
      </c>
      <c r="B38" s="787" t="s">
        <v>599</v>
      </c>
      <c r="C38" s="819"/>
      <c r="D38" s="787"/>
      <c r="E38" s="780"/>
      <c r="F38" s="780"/>
      <c r="G38" s="811"/>
      <c r="H38" s="811"/>
    </row>
    <row r="39" spans="1:11" ht="18" customHeight="1">
      <c r="A39" s="780">
        <v>30</v>
      </c>
      <c r="B39" s="129" t="s">
        <v>600</v>
      </c>
      <c r="C39" s="814"/>
      <c r="D39" s="814"/>
      <c r="E39" s="815"/>
      <c r="F39" s="815"/>
      <c r="G39" s="811">
        <f>G35+G36+G37+G38</f>
        <v>5314238.2794287577</v>
      </c>
      <c r="H39" s="811">
        <f>H35+H36+H37+H38</f>
        <v>5707991.4062425084</v>
      </c>
    </row>
    <row r="40" spans="1:11" ht="18" customHeight="1">
      <c r="A40" s="801">
        <v>31</v>
      </c>
      <c r="B40" s="144" t="s">
        <v>76</v>
      </c>
      <c r="C40" s="814"/>
      <c r="D40" s="814"/>
      <c r="E40" s="815"/>
      <c r="F40" s="815"/>
      <c r="G40" s="813">
        <f>ROUND(G39,0)</f>
        <v>5314238</v>
      </c>
      <c r="H40" s="813">
        <f>ROUND(H39,0)</f>
        <v>5707991</v>
      </c>
    </row>
    <row r="41" spans="1:11">
      <c r="A41" s="820"/>
      <c r="B41" s="820"/>
      <c r="C41" s="820"/>
      <c r="D41" s="820"/>
      <c r="E41" s="820"/>
      <c r="F41" s="820"/>
      <c r="G41" s="820"/>
      <c r="H41" s="820"/>
    </row>
    <row r="42" spans="1:11" ht="17.25" customHeight="1">
      <c r="A42" s="821" t="s">
        <v>601</v>
      </c>
      <c r="B42" s="881" t="s">
        <v>602</v>
      </c>
      <c r="C42" s="881"/>
      <c r="D42" s="822"/>
      <c r="E42" s="822"/>
      <c r="F42" s="822"/>
      <c r="G42" s="822"/>
      <c r="H42" s="822"/>
    </row>
    <row r="43" spans="1:11" ht="57.75" customHeight="1">
      <c r="A43" s="823" t="s">
        <v>603</v>
      </c>
      <c r="B43" s="881" t="s">
        <v>604</v>
      </c>
      <c r="C43" s="881"/>
      <c r="D43" s="822"/>
      <c r="E43" s="822"/>
      <c r="F43" s="822"/>
      <c r="G43" s="824"/>
      <c r="H43" s="824"/>
    </row>
    <row r="44" spans="1:11">
      <c r="A44" s="821" t="s">
        <v>605</v>
      </c>
      <c r="B44" s="882" t="s">
        <v>606</v>
      </c>
      <c r="C44" s="882"/>
      <c r="G44" s="825"/>
      <c r="H44" s="825"/>
    </row>
    <row r="45" spans="1:11" ht="19.5" customHeight="1">
      <c r="A45" s="821" t="s">
        <v>607</v>
      </c>
      <c r="B45" s="883" t="s">
        <v>608</v>
      </c>
      <c r="C45" s="883"/>
    </row>
    <row r="74" spans="1:8">
      <c r="B74" s="769" t="s">
        <v>609</v>
      </c>
    </row>
    <row r="75" spans="1:8" ht="20.25" customHeight="1">
      <c r="A75" s="826" t="s">
        <v>141</v>
      </c>
      <c r="B75" s="827" t="s">
        <v>610</v>
      </c>
      <c r="C75" s="827"/>
      <c r="D75" s="828" t="s">
        <v>54</v>
      </c>
      <c r="E75" s="829">
        <v>291.27999999999997</v>
      </c>
      <c r="F75" s="830">
        <v>2</v>
      </c>
      <c r="G75" s="831">
        <f>E75*F75</f>
        <v>582.55999999999995</v>
      </c>
      <c r="H75" s="831">
        <f>E75*F75</f>
        <v>582.55999999999995</v>
      </c>
    </row>
  </sheetData>
  <mergeCells count="12">
    <mergeCell ref="B42:C42"/>
    <mergeCell ref="B43:C43"/>
    <mergeCell ref="B44:C44"/>
    <mergeCell ref="B45:C45"/>
    <mergeCell ref="B1:E1"/>
    <mergeCell ref="B3:G3"/>
    <mergeCell ref="F7:F8"/>
    <mergeCell ref="A7:A8"/>
    <mergeCell ref="B7:B8"/>
    <mergeCell ref="C7:C8"/>
    <mergeCell ref="D7:D8"/>
    <mergeCell ref="E7:E8"/>
  </mergeCells>
  <conditionalFormatting sqref="B28">
    <cfRule type="cellIs" dxfId="10" priority="2" stopIfTrue="1" operator="equal">
      <formula>"?"</formula>
    </cfRule>
  </conditionalFormatting>
  <conditionalFormatting sqref="B29">
    <cfRule type="cellIs" dxfId="9" priority="1" stopIfTrue="1" operator="equal">
      <formula>"?"</formula>
    </cfRule>
  </conditionalFormatting>
  <pageMargins left="0.7" right="0.18" top="0.7" bottom="0.48" header="0.56000000000000005" footer="0.17"/>
  <pageSetup paperSize="9" scale="95" orientation="landscape"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Q173"/>
  <sheetViews>
    <sheetView zoomScale="85" zoomScaleNormal="85" workbookViewId="0">
      <pane xSplit="3" ySplit="10" topLeftCell="D134" activePane="bottomRight" state="frozen"/>
      <selection pane="topRight" activeCell="D1" sqref="D1"/>
      <selection pane="bottomLeft" activeCell="A11" sqref="A11"/>
      <selection pane="bottomRight" activeCell="F140" sqref="F140"/>
    </sheetView>
  </sheetViews>
  <sheetFormatPr defaultRowHeight="12.75"/>
  <cols>
    <col min="1" max="1" width="4.7109375" style="94" customWidth="1"/>
    <col min="2" max="2" width="5.140625" style="90" customWidth="1"/>
    <col min="3" max="3" width="39.28515625" style="94" customWidth="1"/>
    <col min="4" max="4" width="15" style="90" customWidth="1"/>
    <col min="5" max="5" width="6.42578125" style="94" bestFit="1" customWidth="1"/>
    <col min="6" max="6" width="14.140625" style="94" bestFit="1" customWidth="1"/>
    <col min="7" max="7" width="8.28515625" style="94" customWidth="1"/>
    <col min="8" max="8" width="15" style="94" customWidth="1"/>
    <col min="9" max="9" width="8.5703125" style="94" bestFit="1" customWidth="1"/>
    <col min="10" max="10" width="14.85546875" style="94" customWidth="1"/>
    <col min="11" max="11" width="8.42578125" style="94" bestFit="1" customWidth="1"/>
    <col min="12" max="12" width="15" style="94" customWidth="1"/>
    <col min="13" max="13" width="49.140625" style="94" customWidth="1"/>
    <col min="14" max="14" width="12.42578125" style="94" bestFit="1" customWidth="1"/>
    <col min="15" max="15" width="13.5703125" style="94" bestFit="1" customWidth="1"/>
    <col min="16" max="16" width="9.140625" style="94"/>
    <col min="17" max="17" width="14.85546875" style="94" bestFit="1" customWidth="1"/>
    <col min="18" max="16384" width="9.140625" style="94"/>
  </cols>
  <sheetData>
    <row r="1" spans="1:13" ht="18">
      <c r="B1" s="163"/>
      <c r="C1" s="164"/>
      <c r="D1" s="163"/>
      <c r="E1" s="903" t="s">
        <v>103</v>
      </c>
      <c r="F1" s="903"/>
      <c r="G1" s="903"/>
      <c r="H1" s="903"/>
      <c r="I1" s="164"/>
      <c r="J1" s="164"/>
      <c r="L1" s="164"/>
    </row>
    <row r="2" spans="1:13" ht="9.75" customHeight="1">
      <c r="A2" s="163"/>
      <c r="B2" s="163"/>
      <c r="C2" s="163"/>
      <c r="D2" s="163"/>
      <c r="E2" s="163"/>
      <c r="F2" s="163"/>
      <c r="G2" s="163"/>
      <c r="H2" s="163"/>
      <c r="I2" s="163"/>
      <c r="J2" s="163"/>
      <c r="K2" s="163"/>
      <c r="L2" s="163"/>
    </row>
    <row r="3" spans="1:13" ht="36" customHeight="1">
      <c r="B3" s="165"/>
      <c r="C3" s="870" t="s">
        <v>104</v>
      </c>
      <c r="D3" s="870"/>
      <c r="E3" s="870"/>
      <c r="F3" s="870"/>
      <c r="G3" s="870"/>
      <c r="H3" s="870"/>
      <c r="I3" s="870"/>
      <c r="J3" s="870"/>
      <c r="K3" s="166"/>
      <c r="L3" s="166"/>
    </row>
    <row r="4" spans="1:13" ht="8.25" customHeight="1">
      <c r="A4" s="166"/>
      <c r="B4" s="165"/>
      <c r="C4" s="167"/>
      <c r="D4" s="165"/>
      <c r="E4" s="166"/>
      <c r="F4" s="166"/>
      <c r="G4" s="166"/>
      <c r="H4" s="166"/>
      <c r="I4" s="166"/>
      <c r="J4" s="166"/>
      <c r="K4" s="166"/>
      <c r="L4" s="166"/>
    </row>
    <row r="5" spans="1:13" ht="15.75">
      <c r="B5" s="168"/>
      <c r="C5" s="169"/>
      <c r="D5" s="168"/>
      <c r="E5" s="169"/>
      <c r="F5" s="169"/>
      <c r="G5" s="169"/>
      <c r="H5" s="169"/>
      <c r="I5" s="169"/>
      <c r="J5" s="169"/>
      <c r="K5" s="169"/>
      <c r="L5" s="170" t="s">
        <v>493</v>
      </c>
    </row>
    <row r="6" spans="1:13" ht="17.25" customHeight="1">
      <c r="A6" s="904" t="s">
        <v>105</v>
      </c>
      <c r="B6" s="907" t="s">
        <v>3</v>
      </c>
      <c r="C6" s="908"/>
      <c r="D6" s="913" t="s">
        <v>4</v>
      </c>
      <c r="E6" s="914" t="s">
        <v>5</v>
      </c>
      <c r="F6" s="914" t="s">
        <v>106</v>
      </c>
      <c r="G6" s="897" t="s">
        <v>107</v>
      </c>
      <c r="H6" s="897"/>
      <c r="I6" s="897" t="s">
        <v>108</v>
      </c>
      <c r="J6" s="897"/>
      <c r="K6" s="897" t="s">
        <v>109</v>
      </c>
      <c r="L6" s="897"/>
    </row>
    <row r="7" spans="1:13" ht="17.25" customHeight="1">
      <c r="A7" s="905"/>
      <c r="B7" s="909"/>
      <c r="C7" s="910"/>
      <c r="D7" s="913"/>
      <c r="E7" s="914"/>
      <c r="F7" s="914"/>
      <c r="G7" s="897"/>
      <c r="H7" s="897"/>
      <c r="I7" s="897"/>
      <c r="J7" s="897"/>
      <c r="K7" s="897"/>
      <c r="L7" s="897"/>
    </row>
    <row r="8" spans="1:13" ht="24" customHeight="1">
      <c r="A8" s="905"/>
      <c r="B8" s="909"/>
      <c r="C8" s="910"/>
      <c r="D8" s="913"/>
      <c r="E8" s="914"/>
      <c r="F8" s="914"/>
      <c r="G8" s="897"/>
      <c r="H8" s="897"/>
      <c r="I8" s="897"/>
      <c r="J8" s="897"/>
      <c r="K8" s="897"/>
      <c r="L8" s="897"/>
    </row>
    <row r="9" spans="1:13" ht="19.5" customHeight="1">
      <c r="A9" s="906"/>
      <c r="B9" s="911"/>
      <c r="C9" s="912"/>
      <c r="D9" s="913"/>
      <c r="E9" s="914"/>
      <c r="F9" s="914"/>
      <c r="G9" s="171" t="s">
        <v>110</v>
      </c>
      <c r="H9" s="171" t="s">
        <v>11</v>
      </c>
      <c r="I9" s="171" t="s">
        <v>110</v>
      </c>
      <c r="J9" s="171" t="s">
        <v>11</v>
      </c>
      <c r="K9" s="171" t="s">
        <v>110</v>
      </c>
      <c r="L9" s="171" t="s">
        <v>11</v>
      </c>
    </row>
    <row r="10" spans="1:13" ht="15">
      <c r="A10" s="172">
        <v>1</v>
      </c>
      <c r="B10" s="898">
        <v>2</v>
      </c>
      <c r="C10" s="899"/>
      <c r="D10" s="173">
        <v>3</v>
      </c>
      <c r="E10" s="173">
        <v>4</v>
      </c>
      <c r="F10" s="172">
        <v>5</v>
      </c>
      <c r="G10" s="172">
        <v>6</v>
      </c>
      <c r="H10" s="172">
        <v>7</v>
      </c>
      <c r="I10" s="172">
        <v>8</v>
      </c>
      <c r="J10" s="172">
        <v>9</v>
      </c>
      <c r="K10" s="172">
        <v>10</v>
      </c>
      <c r="L10" s="173">
        <v>11</v>
      </c>
    </row>
    <row r="11" spans="1:13" ht="32.25" customHeight="1">
      <c r="A11" s="890">
        <v>1</v>
      </c>
      <c r="B11" s="504"/>
      <c r="C11" s="505" t="s">
        <v>111</v>
      </c>
      <c r="D11" s="506"/>
      <c r="E11" s="507"/>
      <c r="F11" s="507"/>
      <c r="G11" s="507"/>
      <c r="H11" s="507"/>
      <c r="I11" s="507"/>
      <c r="J11" s="507"/>
      <c r="K11" s="507"/>
      <c r="L11" s="508"/>
    </row>
    <row r="12" spans="1:13" ht="76.5" customHeight="1">
      <c r="A12" s="886"/>
      <c r="B12" s="509" t="s">
        <v>112</v>
      </c>
      <c r="C12" s="510" t="s">
        <v>113</v>
      </c>
      <c r="D12" s="511"/>
      <c r="E12" s="509" t="s">
        <v>29</v>
      </c>
      <c r="F12" s="512">
        <v>406</v>
      </c>
      <c r="G12" s="509">
        <v>400</v>
      </c>
      <c r="H12" s="512">
        <f t="shared" ref="H12:H24" si="0">G12*F12</f>
        <v>162400</v>
      </c>
      <c r="I12" s="509">
        <v>400</v>
      </c>
      <c r="J12" s="512">
        <f t="shared" ref="J12:J24" si="1">I12*F12</f>
        <v>162400</v>
      </c>
      <c r="K12" s="509">
        <v>400</v>
      </c>
      <c r="L12" s="512">
        <f t="shared" ref="L12:L24" si="2">K12*F12</f>
        <v>162400</v>
      </c>
    </row>
    <row r="13" spans="1:13" ht="88.5" customHeight="1">
      <c r="A13" s="886"/>
      <c r="B13" s="513" t="s">
        <v>114</v>
      </c>
      <c r="C13" s="514" t="s">
        <v>489</v>
      </c>
      <c r="D13" s="515"/>
      <c r="E13" s="513" t="s">
        <v>115</v>
      </c>
      <c r="F13" s="516">
        <v>160088</v>
      </c>
      <c r="G13" s="513">
        <v>1</v>
      </c>
      <c r="H13" s="512">
        <f t="shared" si="0"/>
        <v>160088</v>
      </c>
      <c r="I13" s="513">
        <v>1</v>
      </c>
      <c r="J13" s="512">
        <f t="shared" si="1"/>
        <v>160088</v>
      </c>
      <c r="K13" s="513">
        <v>1</v>
      </c>
      <c r="L13" s="512">
        <f t="shared" si="2"/>
        <v>160088</v>
      </c>
    </row>
    <row r="14" spans="1:13" ht="75" customHeight="1">
      <c r="A14" s="886"/>
      <c r="B14" s="513" t="s">
        <v>116</v>
      </c>
      <c r="C14" s="514" t="s">
        <v>117</v>
      </c>
      <c r="D14" s="515"/>
      <c r="E14" s="509" t="s">
        <v>115</v>
      </c>
      <c r="F14" s="512">
        <v>906710</v>
      </c>
      <c r="G14" s="509">
        <v>1</v>
      </c>
      <c r="H14" s="512">
        <f t="shared" si="0"/>
        <v>906710</v>
      </c>
      <c r="I14" s="509">
        <v>1</v>
      </c>
      <c r="J14" s="512">
        <f t="shared" si="1"/>
        <v>906710</v>
      </c>
      <c r="K14" s="509">
        <v>1</v>
      </c>
      <c r="L14" s="512">
        <f t="shared" si="2"/>
        <v>906710</v>
      </c>
    </row>
    <row r="15" spans="1:13" ht="88.5" customHeight="1">
      <c r="A15" s="886"/>
      <c r="B15" s="513" t="s">
        <v>118</v>
      </c>
      <c r="C15" s="514" t="s">
        <v>119</v>
      </c>
      <c r="D15" s="511"/>
      <c r="E15" s="509" t="s">
        <v>120</v>
      </c>
      <c r="F15" s="512">
        <v>2494</v>
      </c>
      <c r="G15" s="509">
        <v>125</v>
      </c>
      <c r="H15" s="512">
        <f t="shared" si="0"/>
        <v>311750</v>
      </c>
      <c r="I15" s="509">
        <v>125</v>
      </c>
      <c r="J15" s="512">
        <f t="shared" si="1"/>
        <v>311750</v>
      </c>
      <c r="K15" s="509">
        <v>125</v>
      </c>
      <c r="L15" s="512">
        <f t="shared" si="2"/>
        <v>311750</v>
      </c>
      <c r="M15" s="174"/>
    </row>
    <row r="16" spans="1:13" ht="81.75" customHeight="1">
      <c r="A16" s="886"/>
      <c r="B16" s="513" t="s">
        <v>121</v>
      </c>
      <c r="C16" s="514" t="s">
        <v>122</v>
      </c>
      <c r="D16" s="511"/>
      <c r="E16" s="509" t="s">
        <v>120</v>
      </c>
      <c r="F16" s="512">
        <v>2860</v>
      </c>
      <c r="G16" s="509">
        <v>125</v>
      </c>
      <c r="H16" s="512">
        <f t="shared" si="0"/>
        <v>357500</v>
      </c>
      <c r="I16" s="509">
        <v>125</v>
      </c>
      <c r="J16" s="512">
        <f t="shared" si="1"/>
        <v>357500</v>
      </c>
      <c r="K16" s="509">
        <v>125</v>
      </c>
      <c r="L16" s="512">
        <f t="shared" si="2"/>
        <v>357500</v>
      </c>
      <c r="M16" s="175"/>
    </row>
    <row r="17" spans="1:13" ht="75" customHeight="1">
      <c r="A17" s="886"/>
      <c r="B17" s="509" t="s">
        <v>123</v>
      </c>
      <c r="C17" s="514" t="s">
        <v>124</v>
      </c>
      <c r="D17" s="511"/>
      <c r="E17" s="509" t="s">
        <v>125</v>
      </c>
      <c r="F17" s="512">
        <v>35276</v>
      </c>
      <c r="G17" s="509">
        <v>2</v>
      </c>
      <c r="H17" s="512">
        <f t="shared" si="0"/>
        <v>70552</v>
      </c>
      <c r="I17" s="509">
        <v>2</v>
      </c>
      <c r="J17" s="512">
        <f t="shared" si="1"/>
        <v>70552</v>
      </c>
      <c r="K17" s="509">
        <v>2</v>
      </c>
      <c r="L17" s="512">
        <f t="shared" si="2"/>
        <v>70552</v>
      </c>
      <c r="M17" s="176"/>
    </row>
    <row r="18" spans="1:13" ht="118.5" customHeight="1">
      <c r="A18" s="886"/>
      <c r="B18" s="509" t="s">
        <v>126</v>
      </c>
      <c r="C18" s="514" t="s">
        <v>127</v>
      </c>
      <c r="D18" s="511"/>
      <c r="E18" s="509" t="s">
        <v>70</v>
      </c>
      <c r="F18" s="512">
        <v>371</v>
      </c>
      <c r="G18" s="517">
        <v>300</v>
      </c>
      <c r="H18" s="512">
        <f t="shared" si="0"/>
        <v>111300</v>
      </c>
      <c r="I18" s="517">
        <f>+G18</f>
        <v>300</v>
      </c>
      <c r="J18" s="512">
        <f t="shared" si="1"/>
        <v>111300</v>
      </c>
      <c r="K18" s="517">
        <f>+G18</f>
        <v>300</v>
      </c>
      <c r="L18" s="512">
        <f t="shared" si="2"/>
        <v>111300</v>
      </c>
      <c r="M18" s="499"/>
    </row>
    <row r="19" spans="1:13" ht="90" customHeight="1">
      <c r="A19" s="886"/>
      <c r="B19" s="509" t="s">
        <v>129</v>
      </c>
      <c r="C19" s="514" t="s">
        <v>130</v>
      </c>
      <c r="D19" s="511"/>
      <c r="E19" s="509" t="s">
        <v>131</v>
      </c>
      <c r="F19" s="512">
        <v>1200</v>
      </c>
      <c r="G19" s="517">
        <v>180</v>
      </c>
      <c r="H19" s="512">
        <f t="shared" si="0"/>
        <v>216000</v>
      </c>
      <c r="I19" s="509">
        <v>180</v>
      </c>
      <c r="J19" s="512">
        <f t="shared" si="1"/>
        <v>216000</v>
      </c>
      <c r="K19" s="509">
        <v>180</v>
      </c>
      <c r="L19" s="512">
        <f t="shared" si="2"/>
        <v>216000</v>
      </c>
      <c r="M19" s="499"/>
    </row>
    <row r="20" spans="1:13" ht="104.25" customHeight="1">
      <c r="A20" s="886"/>
      <c r="B20" s="513" t="s">
        <v>132</v>
      </c>
      <c r="C20" s="514" t="s">
        <v>490</v>
      </c>
      <c r="D20" s="511"/>
      <c r="E20" s="509" t="s">
        <v>29</v>
      </c>
      <c r="F20" s="512">
        <v>4133</v>
      </c>
      <c r="G20" s="517">
        <v>120</v>
      </c>
      <c r="H20" s="512">
        <f t="shared" si="0"/>
        <v>495960</v>
      </c>
      <c r="I20" s="509">
        <v>120</v>
      </c>
      <c r="J20" s="512">
        <f t="shared" si="1"/>
        <v>495960</v>
      </c>
      <c r="K20" s="509">
        <v>120</v>
      </c>
      <c r="L20" s="512">
        <f t="shared" si="2"/>
        <v>495960</v>
      </c>
      <c r="M20" s="178"/>
    </row>
    <row r="21" spans="1:13" ht="96.75" customHeight="1">
      <c r="A21" s="886"/>
      <c r="B21" s="513" t="s">
        <v>133</v>
      </c>
      <c r="C21" s="514" t="s">
        <v>491</v>
      </c>
      <c r="D21" s="511"/>
      <c r="E21" s="509" t="s">
        <v>29</v>
      </c>
      <c r="F21" s="512">
        <v>4579</v>
      </c>
      <c r="G21" s="517"/>
      <c r="H21" s="512">
        <f t="shared" si="0"/>
        <v>0</v>
      </c>
      <c r="I21" s="509"/>
      <c r="J21" s="512">
        <f t="shared" si="1"/>
        <v>0</v>
      </c>
      <c r="K21" s="509"/>
      <c r="L21" s="512">
        <f t="shared" si="2"/>
        <v>0</v>
      </c>
      <c r="M21" s="179"/>
    </row>
    <row r="22" spans="1:13" ht="79.5" customHeight="1">
      <c r="A22" s="886"/>
      <c r="B22" s="509" t="s">
        <v>134</v>
      </c>
      <c r="C22" s="514" t="s">
        <v>135</v>
      </c>
      <c r="D22" s="511"/>
      <c r="E22" s="509" t="s">
        <v>136</v>
      </c>
      <c r="F22" s="512">
        <v>33635</v>
      </c>
      <c r="G22" s="517">
        <v>1</v>
      </c>
      <c r="H22" s="512">
        <f t="shared" si="0"/>
        <v>33635</v>
      </c>
      <c r="I22" s="509">
        <v>1</v>
      </c>
      <c r="J22" s="512">
        <f t="shared" si="1"/>
        <v>33635</v>
      </c>
      <c r="K22" s="509">
        <v>1</v>
      </c>
      <c r="L22" s="512">
        <f t="shared" si="2"/>
        <v>33635</v>
      </c>
    </row>
    <row r="23" spans="1:13" ht="81" customHeight="1">
      <c r="A23" s="886"/>
      <c r="B23" s="509" t="s">
        <v>137</v>
      </c>
      <c r="C23" s="514" t="s">
        <v>138</v>
      </c>
      <c r="D23" s="511"/>
      <c r="E23" s="509" t="s">
        <v>139</v>
      </c>
      <c r="F23" s="512">
        <v>2156</v>
      </c>
      <c r="G23" s="517">
        <v>130</v>
      </c>
      <c r="H23" s="512">
        <f t="shared" si="0"/>
        <v>280280</v>
      </c>
      <c r="I23" s="509">
        <v>130</v>
      </c>
      <c r="J23" s="512">
        <f t="shared" si="1"/>
        <v>280280</v>
      </c>
      <c r="K23" s="509">
        <v>130</v>
      </c>
      <c r="L23" s="512">
        <f t="shared" si="2"/>
        <v>280280</v>
      </c>
      <c r="M23" s="180" t="s">
        <v>140</v>
      </c>
    </row>
    <row r="24" spans="1:13" ht="83.25" customHeight="1">
      <c r="A24" s="886"/>
      <c r="B24" s="509" t="s">
        <v>141</v>
      </c>
      <c r="C24" s="514" t="s">
        <v>142</v>
      </c>
      <c r="D24" s="511"/>
      <c r="E24" s="509" t="s">
        <v>131</v>
      </c>
      <c r="F24" s="512">
        <v>242</v>
      </c>
      <c r="G24" s="517">
        <v>600</v>
      </c>
      <c r="H24" s="512">
        <f t="shared" si="0"/>
        <v>145200</v>
      </c>
      <c r="I24" s="509">
        <v>600</v>
      </c>
      <c r="J24" s="512">
        <f t="shared" si="1"/>
        <v>145200</v>
      </c>
      <c r="K24" s="509">
        <v>600</v>
      </c>
      <c r="L24" s="512">
        <f t="shared" si="2"/>
        <v>145200</v>
      </c>
      <c r="M24" s="500"/>
    </row>
    <row r="25" spans="1:13" ht="16.5" customHeight="1">
      <c r="A25" s="887"/>
      <c r="B25" s="97" t="s">
        <v>143</v>
      </c>
      <c r="C25" s="518" t="s">
        <v>144</v>
      </c>
      <c r="D25" s="519"/>
      <c r="E25" s="97"/>
      <c r="F25" s="97"/>
      <c r="G25" s="97"/>
      <c r="H25" s="520">
        <f>H12+H13+H14+H15+H17+H18+H19+H20+H22+H23+H24</f>
        <v>2893875</v>
      </c>
      <c r="I25" s="520"/>
      <c r="J25" s="520">
        <f>J12+J13+J14+J15+J17+J18+J19+J20+J22+J23+J24</f>
        <v>2893875</v>
      </c>
      <c r="K25" s="520"/>
      <c r="L25" s="520">
        <f>L12+L13+L14+L15+L17+L18+L19+L20+L22+L23+L24</f>
        <v>2893875</v>
      </c>
      <c r="M25" s="153"/>
    </row>
    <row r="26" spans="1:13" ht="15.75" customHeight="1">
      <c r="A26" s="890">
        <v>2</v>
      </c>
      <c r="B26" s="509"/>
      <c r="C26" s="518" t="s">
        <v>145</v>
      </c>
      <c r="D26" s="521"/>
      <c r="E26" s="522"/>
      <c r="F26" s="522"/>
      <c r="G26" s="522"/>
      <c r="H26" s="522"/>
      <c r="I26" s="522"/>
      <c r="J26" s="522"/>
      <c r="K26" s="522"/>
      <c r="L26" s="523"/>
      <c r="M26" s="153"/>
    </row>
    <row r="27" spans="1:13" ht="15.75" customHeight="1">
      <c r="A27" s="886"/>
      <c r="B27" s="894" t="s">
        <v>112</v>
      </c>
      <c r="C27" s="524" t="s">
        <v>146</v>
      </c>
      <c r="D27" s="525">
        <v>7132220091</v>
      </c>
      <c r="E27" s="526" t="s">
        <v>14</v>
      </c>
      <c r="F27" s="527">
        <v>1065077.6299999999</v>
      </c>
      <c r="G27" s="526">
        <v>1</v>
      </c>
      <c r="H27" s="528">
        <f>F27*G27</f>
        <v>1065077.6299999999</v>
      </c>
      <c r="I27" s="529" t="s">
        <v>147</v>
      </c>
      <c r="J27" s="529" t="s">
        <v>147</v>
      </c>
      <c r="K27" s="529" t="s">
        <v>147</v>
      </c>
      <c r="L27" s="529" t="s">
        <v>147</v>
      </c>
    </row>
    <row r="28" spans="1:13" ht="15.75" customHeight="1">
      <c r="A28" s="886"/>
      <c r="B28" s="895"/>
      <c r="C28" s="510" t="s">
        <v>148</v>
      </c>
      <c r="D28" s="525">
        <v>7132220095</v>
      </c>
      <c r="E28" s="509" t="s">
        <v>14</v>
      </c>
      <c r="F28" s="512">
        <v>3163634.22</v>
      </c>
      <c r="G28" s="530" t="s">
        <v>147</v>
      </c>
      <c r="H28" s="528"/>
      <c r="I28" s="509">
        <v>1</v>
      </c>
      <c r="J28" s="512">
        <f>I28*F28</f>
        <v>3163634.22</v>
      </c>
      <c r="K28" s="530" t="s">
        <v>147</v>
      </c>
      <c r="L28" s="530" t="s">
        <v>147</v>
      </c>
    </row>
    <row r="29" spans="1:13" ht="15.75" customHeight="1">
      <c r="A29" s="886"/>
      <c r="B29" s="896"/>
      <c r="C29" s="514" t="s">
        <v>149</v>
      </c>
      <c r="D29" s="525">
        <v>7132220097</v>
      </c>
      <c r="E29" s="509" t="s">
        <v>14</v>
      </c>
      <c r="F29" s="512">
        <v>4283437.71</v>
      </c>
      <c r="G29" s="530" t="s">
        <v>147</v>
      </c>
      <c r="H29" s="528"/>
      <c r="I29" s="530" t="s">
        <v>147</v>
      </c>
      <c r="J29" s="512"/>
      <c r="K29" s="509">
        <v>1</v>
      </c>
      <c r="L29" s="512">
        <f>K29*F29</f>
        <v>4283437.71</v>
      </c>
    </row>
    <row r="30" spans="1:13" ht="15" customHeight="1">
      <c r="A30" s="886"/>
      <c r="B30" s="894" t="s">
        <v>114</v>
      </c>
      <c r="C30" s="518" t="s">
        <v>150</v>
      </c>
      <c r="D30" s="525"/>
      <c r="E30" s="97" t="s">
        <v>14</v>
      </c>
      <c r="F30" s="531">
        <f>J31+J32+J33</f>
        <v>412251.88</v>
      </c>
      <c r="G30" s="530" t="s">
        <v>147</v>
      </c>
      <c r="H30" s="528"/>
      <c r="I30" s="530">
        <v>1</v>
      </c>
      <c r="J30" s="512"/>
      <c r="K30" s="509"/>
      <c r="L30" s="512"/>
    </row>
    <row r="31" spans="1:13" ht="15.75" customHeight="1">
      <c r="A31" s="886"/>
      <c r="B31" s="895"/>
      <c r="C31" s="514" t="s">
        <v>151</v>
      </c>
      <c r="D31" s="525">
        <v>7131943380</v>
      </c>
      <c r="E31" s="509" t="s">
        <v>14</v>
      </c>
      <c r="F31" s="512">
        <v>303153.58</v>
      </c>
      <c r="G31" s="530" t="s">
        <v>147</v>
      </c>
      <c r="H31" s="528"/>
      <c r="I31" s="530">
        <v>1</v>
      </c>
      <c r="J31" s="512">
        <f>I31*F31</f>
        <v>303153.58</v>
      </c>
      <c r="K31" s="509">
        <v>1</v>
      </c>
      <c r="L31" s="512">
        <f>K31*F31</f>
        <v>303153.58</v>
      </c>
    </row>
    <row r="32" spans="1:13" ht="15.75" customHeight="1">
      <c r="A32" s="886"/>
      <c r="B32" s="895"/>
      <c r="C32" s="514" t="s">
        <v>152</v>
      </c>
      <c r="D32" s="525">
        <v>7131960524</v>
      </c>
      <c r="E32" s="509" t="s">
        <v>14</v>
      </c>
      <c r="F32" s="512">
        <v>39001.74</v>
      </c>
      <c r="G32" s="530" t="s">
        <v>147</v>
      </c>
      <c r="H32" s="528"/>
      <c r="I32" s="530">
        <v>1</v>
      </c>
      <c r="J32" s="512">
        <f>I32*F32</f>
        <v>39001.74</v>
      </c>
      <c r="K32" s="509">
        <v>1</v>
      </c>
      <c r="L32" s="512">
        <f>K32*F32</f>
        <v>39001.74</v>
      </c>
      <c r="M32" s="182"/>
    </row>
    <row r="33" spans="1:14" ht="15.75" customHeight="1">
      <c r="A33" s="886"/>
      <c r="B33" s="896"/>
      <c r="C33" s="514" t="s">
        <v>153</v>
      </c>
      <c r="D33" s="509">
        <v>7132230265</v>
      </c>
      <c r="E33" s="509" t="s">
        <v>14</v>
      </c>
      <c r="F33" s="512">
        <v>23365.52</v>
      </c>
      <c r="G33" s="530" t="s">
        <v>147</v>
      </c>
      <c r="H33" s="528"/>
      <c r="I33" s="530">
        <v>3</v>
      </c>
      <c r="J33" s="512">
        <f>I33*F33</f>
        <v>70096.56</v>
      </c>
      <c r="K33" s="509">
        <v>3</v>
      </c>
      <c r="L33" s="512">
        <f>K33*F33</f>
        <v>70096.56</v>
      </c>
    </row>
    <row r="34" spans="1:14" ht="30">
      <c r="A34" s="886"/>
      <c r="B34" s="894" t="s">
        <v>116</v>
      </c>
      <c r="C34" s="518" t="s">
        <v>154</v>
      </c>
      <c r="D34" s="525"/>
      <c r="E34" s="97" t="s">
        <v>14</v>
      </c>
      <c r="F34" s="520">
        <f>H35+H36+H37</f>
        <v>231555.28</v>
      </c>
      <c r="G34" s="509">
        <v>1</v>
      </c>
      <c r="H34" s="528"/>
      <c r="I34" s="509">
        <v>1</v>
      </c>
      <c r="J34" s="512"/>
      <c r="K34" s="509">
        <v>1</v>
      </c>
      <c r="L34" s="512"/>
      <c r="M34" s="161"/>
    </row>
    <row r="35" spans="1:14" ht="15" customHeight="1">
      <c r="A35" s="886"/>
      <c r="B35" s="895"/>
      <c r="C35" s="510" t="s">
        <v>155</v>
      </c>
      <c r="D35" s="525">
        <v>7131941762</v>
      </c>
      <c r="E35" s="509" t="s">
        <v>14</v>
      </c>
      <c r="F35" s="512">
        <v>149663.06</v>
      </c>
      <c r="G35" s="509">
        <v>1</v>
      </c>
      <c r="H35" s="528">
        <f>F35*G35</f>
        <v>149663.06</v>
      </c>
      <c r="I35" s="509">
        <v>1</v>
      </c>
      <c r="J35" s="512">
        <f>I35*F35</f>
        <v>149663.06</v>
      </c>
      <c r="K35" s="509">
        <v>1</v>
      </c>
      <c r="L35" s="512">
        <f>K35*F35</f>
        <v>149663.06</v>
      </c>
      <c r="M35" s="161"/>
    </row>
    <row r="36" spans="1:14" ht="30" customHeight="1">
      <c r="A36" s="886"/>
      <c r="B36" s="895"/>
      <c r="C36" s="514" t="s">
        <v>156</v>
      </c>
      <c r="D36" s="525">
        <v>7131960522</v>
      </c>
      <c r="E36" s="509" t="s">
        <v>125</v>
      </c>
      <c r="F36" s="512">
        <v>38434.25</v>
      </c>
      <c r="G36" s="509">
        <v>1</v>
      </c>
      <c r="H36" s="528">
        <f>F36*G36</f>
        <v>38434.25</v>
      </c>
      <c r="I36" s="509">
        <v>1</v>
      </c>
      <c r="J36" s="512">
        <f>I36*F36</f>
        <v>38434.25</v>
      </c>
      <c r="K36" s="509">
        <v>1</v>
      </c>
      <c r="L36" s="512">
        <f>K36*F36</f>
        <v>38434.25</v>
      </c>
      <c r="M36" s="183"/>
    </row>
    <row r="37" spans="1:14" ht="15.75" customHeight="1">
      <c r="A37" s="886"/>
      <c r="B37" s="896"/>
      <c r="C37" s="510" t="s">
        <v>157</v>
      </c>
      <c r="D37" s="525">
        <v>7132230188</v>
      </c>
      <c r="E37" s="509" t="s">
        <v>14</v>
      </c>
      <c r="F37" s="512">
        <v>14485.99</v>
      </c>
      <c r="G37" s="509">
        <v>3</v>
      </c>
      <c r="H37" s="528">
        <f>F37*G37</f>
        <v>43457.97</v>
      </c>
      <c r="I37" s="509">
        <v>3</v>
      </c>
      <c r="J37" s="512">
        <f>I37*F37</f>
        <v>43457.97</v>
      </c>
      <c r="K37" s="509">
        <v>3</v>
      </c>
      <c r="L37" s="512">
        <f>K37*F37</f>
        <v>43457.97</v>
      </c>
      <c r="M37" s="161"/>
    </row>
    <row r="38" spans="1:14" ht="30">
      <c r="A38" s="886"/>
      <c r="B38" s="894" t="s">
        <v>158</v>
      </c>
      <c r="C38" s="518" t="s">
        <v>159</v>
      </c>
      <c r="D38" s="525"/>
      <c r="E38" s="97" t="s">
        <v>14</v>
      </c>
      <c r="F38" s="520">
        <f>H39+H40</f>
        <v>437239</v>
      </c>
      <c r="G38" s="530">
        <v>2</v>
      </c>
      <c r="H38" s="528"/>
      <c r="I38" s="530">
        <v>2</v>
      </c>
      <c r="J38" s="512"/>
      <c r="K38" s="509">
        <v>3</v>
      </c>
      <c r="L38" s="512"/>
      <c r="M38" s="184"/>
    </row>
    <row r="39" spans="1:14" ht="18.75" customHeight="1">
      <c r="A39" s="886"/>
      <c r="B39" s="895"/>
      <c r="C39" s="510" t="s">
        <v>160</v>
      </c>
      <c r="D39" s="525">
        <v>7131960497</v>
      </c>
      <c r="E39" s="509" t="s">
        <v>14</v>
      </c>
      <c r="F39" s="512">
        <f>F35+25498.47</f>
        <v>175161.53</v>
      </c>
      <c r="G39" s="530">
        <v>2</v>
      </c>
      <c r="H39" s="528">
        <f t="shared" ref="H39:H52" si="3">F39*G39</f>
        <v>350323.06</v>
      </c>
      <c r="I39" s="530">
        <v>2</v>
      </c>
      <c r="J39" s="512">
        <f t="shared" ref="J39:J52" si="4">I39*F39</f>
        <v>350323.06</v>
      </c>
      <c r="K39" s="530">
        <v>3</v>
      </c>
      <c r="L39" s="512">
        <f t="shared" ref="L39:L52" si="5">K39*F39</f>
        <v>525484.59</v>
      </c>
      <c r="M39" s="185" t="s">
        <v>161</v>
      </c>
      <c r="N39" s="94">
        <v>25498.47</v>
      </c>
    </row>
    <row r="40" spans="1:14" ht="15.75" customHeight="1">
      <c r="A40" s="886"/>
      <c r="B40" s="896"/>
      <c r="C40" s="514" t="s">
        <v>162</v>
      </c>
      <c r="D40" s="525">
        <v>7132230185</v>
      </c>
      <c r="E40" s="509" t="s">
        <v>14</v>
      </c>
      <c r="F40" s="512">
        <v>14485.99</v>
      </c>
      <c r="G40" s="530">
        <v>6</v>
      </c>
      <c r="H40" s="528">
        <f t="shared" si="3"/>
        <v>86915.94</v>
      </c>
      <c r="I40" s="530">
        <v>6</v>
      </c>
      <c r="J40" s="512">
        <f t="shared" si="4"/>
        <v>86915.94</v>
      </c>
      <c r="K40" s="530">
        <v>9</v>
      </c>
      <c r="L40" s="512">
        <f t="shared" si="5"/>
        <v>130373.91</v>
      </c>
      <c r="M40" s="161"/>
    </row>
    <row r="41" spans="1:14" ht="30.75" customHeight="1">
      <c r="A41" s="886"/>
      <c r="B41" s="532" t="s">
        <v>123</v>
      </c>
      <c r="C41" s="510" t="s">
        <v>163</v>
      </c>
      <c r="D41" s="525">
        <v>7131930752</v>
      </c>
      <c r="E41" s="509" t="s">
        <v>14</v>
      </c>
      <c r="F41" s="512">
        <v>43236.47</v>
      </c>
      <c r="G41" s="509">
        <v>2</v>
      </c>
      <c r="H41" s="528">
        <f t="shared" si="3"/>
        <v>86472.94</v>
      </c>
      <c r="I41" s="509">
        <v>2</v>
      </c>
      <c r="J41" s="512">
        <f t="shared" si="4"/>
        <v>86472.94</v>
      </c>
      <c r="K41" s="509">
        <v>2</v>
      </c>
      <c r="L41" s="512">
        <f t="shared" si="5"/>
        <v>86472.94</v>
      </c>
      <c r="M41" s="174"/>
    </row>
    <row r="42" spans="1:14" ht="29.25" customHeight="1">
      <c r="A42" s="886"/>
      <c r="B42" s="513" t="s">
        <v>126</v>
      </c>
      <c r="C42" s="514" t="s">
        <v>164</v>
      </c>
      <c r="D42" s="525">
        <v>7131930663</v>
      </c>
      <c r="E42" s="513" t="s">
        <v>14</v>
      </c>
      <c r="F42" s="512">
        <v>24983.38</v>
      </c>
      <c r="G42" s="513">
        <v>6</v>
      </c>
      <c r="H42" s="528">
        <f t="shared" si="3"/>
        <v>149900.28</v>
      </c>
      <c r="I42" s="513">
        <v>6</v>
      </c>
      <c r="J42" s="512">
        <f t="shared" si="4"/>
        <v>149900.28</v>
      </c>
      <c r="K42" s="513">
        <v>8</v>
      </c>
      <c r="L42" s="512">
        <f t="shared" si="5"/>
        <v>199867.04</v>
      </c>
      <c r="M42" s="161"/>
    </row>
    <row r="43" spans="1:14" ht="15" customHeight="1">
      <c r="A43" s="886"/>
      <c r="B43" s="513" t="s">
        <v>129</v>
      </c>
      <c r="C43" s="510" t="s">
        <v>165</v>
      </c>
      <c r="D43" s="525">
        <v>7131930415</v>
      </c>
      <c r="E43" s="509" t="s">
        <v>125</v>
      </c>
      <c r="F43" s="512">
        <v>2729.94</v>
      </c>
      <c r="G43" s="509">
        <v>3</v>
      </c>
      <c r="H43" s="528">
        <f t="shared" si="3"/>
        <v>8189.82</v>
      </c>
      <c r="I43" s="530">
        <v>3</v>
      </c>
      <c r="J43" s="512">
        <f t="shared" si="4"/>
        <v>8189.82</v>
      </c>
      <c r="K43" s="530">
        <v>9</v>
      </c>
      <c r="L43" s="512">
        <f t="shared" si="5"/>
        <v>24569.46</v>
      </c>
      <c r="M43" s="186"/>
      <c r="N43" s="161"/>
    </row>
    <row r="44" spans="1:14" ht="15" customHeight="1">
      <c r="A44" s="886"/>
      <c r="B44" s="509" t="s">
        <v>166</v>
      </c>
      <c r="C44" s="510" t="s">
        <v>167</v>
      </c>
      <c r="D44" s="525">
        <v>7131930412</v>
      </c>
      <c r="E44" s="509" t="s">
        <v>125</v>
      </c>
      <c r="F44" s="512">
        <v>1020.31</v>
      </c>
      <c r="G44" s="530">
        <v>3</v>
      </c>
      <c r="H44" s="528">
        <f t="shared" si="3"/>
        <v>3060.93</v>
      </c>
      <c r="I44" s="530">
        <v>3</v>
      </c>
      <c r="J44" s="512">
        <f t="shared" si="4"/>
        <v>3060.93</v>
      </c>
      <c r="K44" s="530">
        <v>6</v>
      </c>
      <c r="L44" s="512">
        <f t="shared" si="5"/>
        <v>6121.86</v>
      </c>
      <c r="M44" s="187"/>
    </row>
    <row r="45" spans="1:14" ht="15" customHeight="1">
      <c r="A45" s="886"/>
      <c r="B45" s="509" t="s">
        <v>134</v>
      </c>
      <c r="C45" s="514" t="s">
        <v>168</v>
      </c>
      <c r="D45" s="525">
        <v>7130840021</v>
      </c>
      <c r="E45" s="509" t="s">
        <v>125</v>
      </c>
      <c r="F45" s="512">
        <v>3233.2</v>
      </c>
      <c r="G45" s="509">
        <v>3</v>
      </c>
      <c r="H45" s="528">
        <f t="shared" si="3"/>
        <v>9699.5999999999985</v>
      </c>
      <c r="I45" s="509">
        <v>3</v>
      </c>
      <c r="J45" s="512">
        <f t="shared" si="4"/>
        <v>9699.5999999999985</v>
      </c>
      <c r="K45" s="509">
        <v>3</v>
      </c>
      <c r="L45" s="512">
        <f t="shared" si="5"/>
        <v>9699.5999999999985</v>
      </c>
      <c r="M45" s="187"/>
    </row>
    <row r="46" spans="1:14" ht="15" customHeight="1">
      <c r="A46" s="886"/>
      <c r="B46" s="509" t="s">
        <v>137</v>
      </c>
      <c r="C46" s="514" t="s">
        <v>169</v>
      </c>
      <c r="D46" s="525">
        <v>7130840029</v>
      </c>
      <c r="E46" s="509" t="s">
        <v>125</v>
      </c>
      <c r="F46" s="512">
        <v>348.68</v>
      </c>
      <c r="G46" s="509">
        <v>12</v>
      </c>
      <c r="H46" s="528">
        <f t="shared" si="3"/>
        <v>4184.16</v>
      </c>
      <c r="I46" s="509">
        <v>12</v>
      </c>
      <c r="J46" s="512">
        <f t="shared" si="4"/>
        <v>4184.16</v>
      </c>
      <c r="K46" s="509">
        <v>15</v>
      </c>
      <c r="L46" s="512">
        <f t="shared" si="5"/>
        <v>5230.2</v>
      </c>
      <c r="M46" s="187"/>
    </row>
    <row r="47" spans="1:14" ht="15" customHeight="1">
      <c r="A47" s="886"/>
      <c r="B47" s="509" t="s">
        <v>141</v>
      </c>
      <c r="C47" s="510" t="s">
        <v>170</v>
      </c>
      <c r="D47" s="525">
        <v>7131930321</v>
      </c>
      <c r="E47" s="509" t="s">
        <v>125</v>
      </c>
      <c r="F47" s="512">
        <v>22715.4</v>
      </c>
      <c r="G47" s="509">
        <v>1</v>
      </c>
      <c r="H47" s="528">
        <f t="shared" si="3"/>
        <v>22715.4</v>
      </c>
      <c r="I47" s="509">
        <v>1</v>
      </c>
      <c r="J47" s="512">
        <f t="shared" si="4"/>
        <v>22715.4</v>
      </c>
      <c r="K47" s="509">
        <v>1</v>
      </c>
      <c r="L47" s="512">
        <f t="shared" si="5"/>
        <v>22715.4</v>
      </c>
    </row>
    <row r="48" spans="1:14" ht="15" customHeight="1">
      <c r="A48" s="886"/>
      <c r="B48" s="509" t="s">
        <v>143</v>
      </c>
      <c r="C48" s="510" t="s">
        <v>171</v>
      </c>
      <c r="D48" s="525">
        <v>7131930221</v>
      </c>
      <c r="E48" s="509" t="s">
        <v>125</v>
      </c>
      <c r="F48" s="512">
        <v>10230.879999999999</v>
      </c>
      <c r="G48" s="509">
        <v>3</v>
      </c>
      <c r="H48" s="528">
        <f t="shared" si="3"/>
        <v>30692.639999999999</v>
      </c>
      <c r="I48" s="509">
        <v>3</v>
      </c>
      <c r="J48" s="512">
        <f t="shared" si="4"/>
        <v>30692.639999999999</v>
      </c>
      <c r="K48" s="509">
        <v>4</v>
      </c>
      <c r="L48" s="512">
        <f t="shared" si="5"/>
        <v>40923.519999999997</v>
      </c>
    </row>
    <row r="49" spans="1:16" ht="15.75" customHeight="1">
      <c r="A49" s="886"/>
      <c r="B49" s="509" t="s">
        <v>172</v>
      </c>
      <c r="C49" s="510" t="s">
        <v>173</v>
      </c>
      <c r="D49" s="525">
        <v>7132230057</v>
      </c>
      <c r="E49" s="509" t="s">
        <v>125</v>
      </c>
      <c r="F49" s="512">
        <v>19641.7</v>
      </c>
      <c r="G49" s="509">
        <v>3</v>
      </c>
      <c r="H49" s="528">
        <f t="shared" si="3"/>
        <v>58925.100000000006</v>
      </c>
      <c r="I49" s="509">
        <v>3</v>
      </c>
      <c r="J49" s="512">
        <f t="shared" si="4"/>
        <v>58925.100000000006</v>
      </c>
      <c r="K49" s="509">
        <v>3</v>
      </c>
      <c r="L49" s="512">
        <f t="shared" si="5"/>
        <v>58925.100000000006</v>
      </c>
      <c r="M49" s="187"/>
    </row>
    <row r="50" spans="1:16" ht="15.75" customHeight="1">
      <c r="A50" s="886"/>
      <c r="B50" s="509" t="s">
        <v>174</v>
      </c>
      <c r="C50" s="510" t="s">
        <v>175</v>
      </c>
      <c r="D50" s="525">
        <v>7132230427</v>
      </c>
      <c r="E50" s="509" t="s">
        <v>125</v>
      </c>
      <c r="F50" s="512">
        <v>83656.009999999995</v>
      </c>
      <c r="G50" s="509">
        <v>1</v>
      </c>
      <c r="H50" s="528">
        <f t="shared" si="3"/>
        <v>83656.009999999995</v>
      </c>
      <c r="I50" s="509">
        <v>1</v>
      </c>
      <c r="J50" s="512">
        <f t="shared" si="4"/>
        <v>83656.009999999995</v>
      </c>
      <c r="K50" s="509">
        <v>1</v>
      </c>
      <c r="L50" s="512">
        <f t="shared" si="5"/>
        <v>83656.009999999995</v>
      </c>
    </row>
    <row r="51" spans="1:16" ht="15.75" customHeight="1">
      <c r="A51" s="886"/>
      <c r="B51" s="509" t="s">
        <v>176</v>
      </c>
      <c r="C51" s="510" t="s">
        <v>177</v>
      </c>
      <c r="D51" s="525">
        <v>7132230412</v>
      </c>
      <c r="E51" s="509" t="s">
        <v>125</v>
      </c>
      <c r="F51" s="512">
        <v>41332.300000000003</v>
      </c>
      <c r="G51" s="509">
        <v>2</v>
      </c>
      <c r="H51" s="528">
        <f t="shared" si="3"/>
        <v>82664.600000000006</v>
      </c>
      <c r="I51" s="509">
        <v>2</v>
      </c>
      <c r="J51" s="512">
        <f t="shared" si="4"/>
        <v>82664.600000000006</v>
      </c>
      <c r="K51" s="509">
        <v>3</v>
      </c>
      <c r="L51" s="512">
        <f t="shared" si="5"/>
        <v>123996.90000000001</v>
      </c>
    </row>
    <row r="52" spans="1:16" ht="18" customHeight="1">
      <c r="A52" s="886"/>
      <c r="B52" s="509" t="s">
        <v>178</v>
      </c>
      <c r="C52" s="510" t="s">
        <v>179</v>
      </c>
      <c r="D52" s="525">
        <v>7132230056</v>
      </c>
      <c r="E52" s="509" t="s">
        <v>125</v>
      </c>
      <c r="F52" s="512">
        <v>12242.87</v>
      </c>
      <c r="G52" s="509">
        <v>3</v>
      </c>
      <c r="H52" s="528">
        <f t="shared" si="3"/>
        <v>36728.61</v>
      </c>
      <c r="I52" s="509">
        <v>3</v>
      </c>
      <c r="J52" s="512">
        <f t="shared" si="4"/>
        <v>36728.61</v>
      </c>
      <c r="K52" s="509">
        <v>3</v>
      </c>
      <c r="L52" s="512">
        <f t="shared" si="5"/>
        <v>36728.61</v>
      </c>
      <c r="N52" s="187"/>
    </row>
    <row r="53" spans="1:16" ht="30">
      <c r="A53" s="886"/>
      <c r="B53" s="900" t="s">
        <v>180</v>
      </c>
      <c r="C53" s="518" t="s">
        <v>181</v>
      </c>
      <c r="D53" s="525"/>
      <c r="E53" s="97" t="s">
        <v>14</v>
      </c>
      <c r="F53" s="520">
        <f>H54+H55</f>
        <v>3495.4700000000003</v>
      </c>
      <c r="G53" s="530">
        <v>1</v>
      </c>
      <c r="H53" s="528"/>
      <c r="I53" s="530">
        <v>1</v>
      </c>
      <c r="J53" s="512"/>
      <c r="K53" s="509">
        <v>1</v>
      </c>
      <c r="L53" s="512"/>
    </row>
    <row r="54" spans="1:16" ht="15.75" customHeight="1">
      <c r="A54" s="886"/>
      <c r="B54" s="901"/>
      <c r="C54" s="514" t="s">
        <v>182</v>
      </c>
      <c r="D54" s="525">
        <v>7131310997</v>
      </c>
      <c r="E54" s="509" t="s">
        <v>14</v>
      </c>
      <c r="F54" s="512">
        <v>1913.09</v>
      </c>
      <c r="G54" s="530">
        <v>1</v>
      </c>
      <c r="H54" s="528">
        <f>F54*G54</f>
        <v>1913.09</v>
      </c>
      <c r="I54" s="530">
        <v>1</v>
      </c>
      <c r="J54" s="512">
        <f>I54*F54</f>
        <v>1913.09</v>
      </c>
      <c r="K54" s="509">
        <v>1</v>
      </c>
      <c r="L54" s="512">
        <f>K54*F54</f>
        <v>1913.09</v>
      </c>
      <c r="M54" s="123"/>
    </row>
    <row r="55" spans="1:16" ht="15.75" customHeight="1">
      <c r="A55" s="886"/>
      <c r="B55" s="902"/>
      <c r="C55" s="514" t="s">
        <v>183</v>
      </c>
      <c r="D55" s="525">
        <v>7132230016</v>
      </c>
      <c r="E55" s="509" t="s">
        <v>14</v>
      </c>
      <c r="F55" s="512">
        <v>527.46</v>
      </c>
      <c r="G55" s="530">
        <v>3</v>
      </c>
      <c r="H55" s="528">
        <f>F55*G55</f>
        <v>1582.38</v>
      </c>
      <c r="I55" s="530">
        <v>3</v>
      </c>
      <c r="J55" s="512">
        <f>I55*F55</f>
        <v>1582.38</v>
      </c>
      <c r="K55" s="509">
        <v>3</v>
      </c>
      <c r="L55" s="512">
        <f>K55*F55</f>
        <v>1582.38</v>
      </c>
    </row>
    <row r="56" spans="1:16" ht="21" customHeight="1">
      <c r="A56" s="886"/>
      <c r="B56" s="900" t="s">
        <v>184</v>
      </c>
      <c r="C56" s="533" t="s">
        <v>185</v>
      </c>
      <c r="D56" s="525"/>
      <c r="E56" s="509" t="s">
        <v>14</v>
      </c>
      <c r="F56" s="520">
        <f>+H57</f>
        <v>12235.68</v>
      </c>
      <c r="G56" s="530">
        <v>3</v>
      </c>
      <c r="H56" s="528"/>
      <c r="I56" s="530">
        <v>3</v>
      </c>
      <c r="J56" s="512"/>
      <c r="K56" s="509">
        <v>4</v>
      </c>
      <c r="L56" s="512"/>
    </row>
    <row r="57" spans="1:16" ht="31.5" customHeight="1">
      <c r="A57" s="886"/>
      <c r="B57" s="902"/>
      <c r="C57" s="534" t="s">
        <v>186</v>
      </c>
      <c r="D57" s="525">
        <v>7131310033</v>
      </c>
      <c r="E57" s="528" t="s">
        <v>14</v>
      </c>
      <c r="F57" s="512">
        <v>4078.56</v>
      </c>
      <c r="G57" s="535">
        <v>3</v>
      </c>
      <c r="H57" s="528">
        <f>F57*G57</f>
        <v>12235.68</v>
      </c>
      <c r="I57" s="509">
        <v>3</v>
      </c>
      <c r="J57" s="512">
        <f>I57*F57</f>
        <v>12235.68</v>
      </c>
      <c r="K57" s="509">
        <v>4</v>
      </c>
      <c r="L57" s="512">
        <f>K57*F57</f>
        <v>16314.24</v>
      </c>
      <c r="M57" s="188"/>
    </row>
    <row r="58" spans="1:16" ht="30.75" customHeight="1">
      <c r="A58" s="886"/>
      <c r="B58" s="509" t="s">
        <v>187</v>
      </c>
      <c r="C58" s="518" t="s">
        <v>188</v>
      </c>
      <c r="D58" s="525"/>
      <c r="E58" s="509" t="s">
        <v>14</v>
      </c>
      <c r="F58" s="520">
        <f>H59+H60</f>
        <v>71728.47</v>
      </c>
      <c r="G58" s="509">
        <v>1</v>
      </c>
      <c r="H58" s="528"/>
      <c r="I58" s="509">
        <v>1</v>
      </c>
      <c r="J58" s="512"/>
      <c r="K58" s="509">
        <v>1</v>
      </c>
      <c r="L58" s="512"/>
    </row>
    <row r="59" spans="1:16" ht="16.5" customHeight="1">
      <c r="A59" s="886"/>
      <c r="B59" s="536"/>
      <c r="C59" s="534" t="s">
        <v>189</v>
      </c>
      <c r="D59" s="525">
        <v>7132404366</v>
      </c>
      <c r="E59" s="509" t="s">
        <v>14</v>
      </c>
      <c r="F59" s="512">
        <v>58920.28</v>
      </c>
      <c r="G59" s="509">
        <v>1</v>
      </c>
      <c r="H59" s="528">
        <f t="shared" ref="H59:H65" si="6">F59*G59</f>
        <v>58920.28</v>
      </c>
      <c r="I59" s="509">
        <v>1</v>
      </c>
      <c r="J59" s="512">
        <f t="shared" ref="J59:J65" si="7">I59*F59</f>
        <v>58920.28</v>
      </c>
      <c r="K59" s="509">
        <v>1</v>
      </c>
      <c r="L59" s="512">
        <f>K59*F59</f>
        <v>58920.28</v>
      </c>
    </row>
    <row r="60" spans="1:16" ht="16.5" customHeight="1">
      <c r="A60" s="886"/>
      <c r="B60" s="509">
        <v>1</v>
      </c>
      <c r="C60" s="514" t="s">
        <v>190</v>
      </c>
      <c r="D60" s="525">
        <v>7132468558</v>
      </c>
      <c r="E60" s="509" t="s">
        <v>14</v>
      </c>
      <c r="F60" s="512">
        <v>12808.19</v>
      </c>
      <c r="G60" s="509">
        <v>1</v>
      </c>
      <c r="H60" s="528">
        <f>F60*G60</f>
        <v>12808.19</v>
      </c>
      <c r="I60" s="509">
        <v>1</v>
      </c>
      <c r="J60" s="512">
        <f>I60*F60</f>
        <v>12808.19</v>
      </c>
      <c r="K60" s="509">
        <v>1</v>
      </c>
      <c r="L60" s="512">
        <f>K60*F60</f>
        <v>12808.19</v>
      </c>
    </row>
    <row r="61" spans="1:16" ht="16.5" customHeight="1">
      <c r="A61" s="886"/>
      <c r="B61" s="509" t="s">
        <v>191</v>
      </c>
      <c r="C61" s="510" t="s">
        <v>192</v>
      </c>
      <c r="D61" s="525">
        <v>7132210215</v>
      </c>
      <c r="E61" s="509" t="s">
        <v>125</v>
      </c>
      <c r="F61" s="512">
        <v>139656.84</v>
      </c>
      <c r="G61" s="530">
        <v>0</v>
      </c>
      <c r="H61" s="528">
        <f t="shared" si="6"/>
        <v>0</v>
      </c>
      <c r="I61" s="530">
        <v>0</v>
      </c>
      <c r="J61" s="512">
        <f t="shared" si="7"/>
        <v>0</v>
      </c>
      <c r="K61" s="509">
        <v>2</v>
      </c>
      <c r="L61" s="512">
        <f>K61*F61</f>
        <v>279313.68</v>
      </c>
      <c r="M61" s="189"/>
      <c r="N61" s="190"/>
      <c r="O61" s="190"/>
      <c r="P61" s="190"/>
    </row>
    <row r="62" spans="1:16" ht="33.75" customHeight="1">
      <c r="A62" s="886"/>
      <c r="B62" s="509" t="s">
        <v>193</v>
      </c>
      <c r="C62" s="510" t="s">
        <v>194</v>
      </c>
      <c r="D62" s="525">
        <v>7132210020</v>
      </c>
      <c r="E62" s="509" t="s">
        <v>125</v>
      </c>
      <c r="F62" s="512">
        <v>131034.24000000001</v>
      </c>
      <c r="G62" s="530">
        <v>1</v>
      </c>
      <c r="H62" s="528">
        <f t="shared" si="6"/>
        <v>131034.24000000001</v>
      </c>
      <c r="I62" s="530">
        <v>1</v>
      </c>
      <c r="J62" s="512">
        <f t="shared" si="7"/>
        <v>131034.24000000001</v>
      </c>
      <c r="K62" s="509"/>
      <c r="L62" s="512"/>
      <c r="M62" s="191"/>
      <c r="N62" s="192"/>
      <c r="O62" s="192"/>
    </row>
    <row r="63" spans="1:16" ht="15.75" customHeight="1">
      <c r="A63" s="886"/>
      <c r="B63" s="509" t="s">
        <v>195</v>
      </c>
      <c r="C63" s="510" t="s">
        <v>196</v>
      </c>
      <c r="D63" s="525">
        <v>7131950065</v>
      </c>
      <c r="E63" s="509" t="s">
        <v>125</v>
      </c>
      <c r="F63" s="512">
        <v>17597.77</v>
      </c>
      <c r="G63" s="530">
        <v>0</v>
      </c>
      <c r="H63" s="528">
        <f t="shared" si="6"/>
        <v>0</v>
      </c>
      <c r="I63" s="530">
        <v>0</v>
      </c>
      <c r="J63" s="512">
        <f t="shared" si="7"/>
        <v>0</v>
      </c>
      <c r="K63" s="509">
        <v>2</v>
      </c>
      <c r="L63" s="512">
        <f>K63*F63</f>
        <v>35195.54</v>
      </c>
    </row>
    <row r="64" spans="1:16" ht="15.75" customHeight="1">
      <c r="A64" s="886"/>
      <c r="B64" s="509" t="s">
        <v>197</v>
      </c>
      <c r="C64" s="510" t="s">
        <v>198</v>
      </c>
      <c r="D64" s="525">
        <v>7131950105</v>
      </c>
      <c r="E64" s="509" t="s">
        <v>125</v>
      </c>
      <c r="F64" s="512">
        <v>21998.12</v>
      </c>
      <c r="G64" s="530">
        <v>1</v>
      </c>
      <c r="H64" s="528">
        <f t="shared" si="6"/>
        <v>21998.12</v>
      </c>
      <c r="I64" s="530">
        <v>1</v>
      </c>
      <c r="J64" s="512">
        <f t="shared" si="7"/>
        <v>21998.12</v>
      </c>
      <c r="K64" s="509"/>
      <c r="L64" s="512"/>
      <c r="M64" s="190"/>
    </row>
    <row r="65" spans="1:15" ht="45.75" customHeight="1">
      <c r="A65" s="886"/>
      <c r="B65" s="537" t="s">
        <v>199</v>
      </c>
      <c r="C65" s="514" t="s">
        <v>200</v>
      </c>
      <c r="D65" s="515">
        <v>7130601958</v>
      </c>
      <c r="E65" s="513" t="s">
        <v>17</v>
      </c>
      <c r="F65" s="512">
        <v>62.81</v>
      </c>
      <c r="G65" s="509">
        <f>37.1*11*6</f>
        <v>2448.6000000000004</v>
      </c>
      <c r="H65" s="512">
        <f t="shared" si="6"/>
        <v>153796.56600000002</v>
      </c>
      <c r="I65" s="509">
        <f>+G65</f>
        <v>2448.6000000000004</v>
      </c>
      <c r="J65" s="512">
        <f t="shared" si="7"/>
        <v>153796.56600000002</v>
      </c>
      <c r="K65" s="509">
        <f>+G65</f>
        <v>2448.6000000000004</v>
      </c>
      <c r="L65" s="512">
        <f>K65*F65</f>
        <v>153796.56600000002</v>
      </c>
      <c r="M65" s="192"/>
      <c r="N65" s="193"/>
    </row>
    <row r="66" spans="1:15" ht="15.75" customHeight="1">
      <c r="A66" s="886"/>
      <c r="B66" s="513" t="s">
        <v>201</v>
      </c>
      <c r="C66" s="518" t="s">
        <v>202</v>
      </c>
      <c r="D66" s="538"/>
      <c r="E66" s="539"/>
      <c r="F66" s="539"/>
      <c r="G66" s="539"/>
      <c r="H66" s="539"/>
      <c r="I66" s="539"/>
      <c r="J66" s="539"/>
      <c r="K66" s="539"/>
      <c r="L66" s="540"/>
    </row>
    <row r="67" spans="1:15" ht="15.75" customHeight="1">
      <c r="A67" s="886"/>
      <c r="B67" s="513" t="s">
        <v>203</v>
      </c>
      <c r="C67" s="510" t="s">
        <v>204</v>
      </c>
      <c r="D67" s="525">
        <v>7130310658</v>
      </c>
      <c r="E67" s="513" t="s">
        <v>205</v>
      </c>
      <c r="F67" s="512">
        <v>204.44</v>
      </c>
      <c r="G67" s="513">
        <v>360</v>
      </c>
      <c r="H67" s="528">
        <f t="shared" ref="H67:H73" si="8">F67*G67</f>
        <v>73598.399999999994</v>
      </c>
      <c r="I67" s="513">
        <v>360</v>
      </c>
      <c r="J67" s="512">
        <f t="shared" ref="J67:J73" si="9">I67*F67</f>
        <v>73598.399999999994</v>
      </c>
      <c r="K67" s="513">
        <v>480</v>
      </c>
      <c r="L67" s="512">
        <f t="shared" ref="L67:L73" si="10">K67*F67</f>
        <v>98131.199999999997</v>
      </c>
    </row>
    <row r="68" spans="1:15" ht="15.75" customHeight="1">
      <c r="A68" s="886"/>
      <c r="B68" s="513" t="s">
        <v>206</v>
      </c>
      <c r="C68" s="510" t="s">
        <v>207</v>
      </c>
      <c r="D68" s="525">
        <v>7130310654</v>
      </c>
      <c r="E68" s="513" t="s">
        <v>205</v>
      </c>
      <c r="F68" s="512">
        <v>107.4</v>
      </c>
      <c r="G68" s="513">
        <v>360</v>
      </c>
      <c r="H68" s="528">
        <f t="shared" si="8"/>
        <v>38664</v>
      </c>
      <c r="I68" s="513">
        <v>360</v>
      </c>
      <c r="J68" s="512">
        <f t="shared" si="9"/>
        <v>38664</v>
      </c>
      <c r="K68" s="513">
        <v>510</v>
      </c>
      <c r="L68" s="512">
        <f t="shared" si="10"/>
        <v>54774</v>
      </c>
    </row>
    <row r="69" spans="1:15" ht="15.75" customHeight="1">
      <c r="A69" s="886"/>
      <c r="B69" s="513" t="s">
        <v>208</v>
      </c>
      <c r="C69" s="510" t="s">
        <v>209</v>
      </c>
      <c r="D69" s="525">
        <v>7130310652</v>
      </c>
      <c r="E69" s="513" t="s">
        <v>205</v>
      </c>
      <c r="F69" s="512">
        <v>61.25</v>
      </c>
      <c r="G69" s="513">
        <v>180</v>
      </c>
      <c r="H69" s="528">
        <f t="shared" si="8"/>
        <v>11025</v>
      </c>
      <c r="I69" s="513">
        <v>240</v>
      </c>
      <c r="J69" s="512">
        <f t="shared" si="9"/>
        <v>14700</v>
      </c>
      <c r="K69" s="513">
        <v>300</v>
      </c>
      <c r="L69" s="512">
        <f t="shared" si="10"/>
        <v>18375</v>
      </c>
    </row>
    <row r="70" spans="1:15" ht="15.75" customHeight="1">
      <c r="A70" s="886"/>
      <c r="B70" s="509" t="s">
        <v>210</v>
      </c>
      <c r="C70" s="510" t="s">
        <v>211</v>
      </c>
      <c r="D70" s="525">
        <v>7130830585</v>
      </c>
      <c r="E70" s="509" t="s">
        <v>14</v>
      </c>
      <c r="F70" s="512">
        <v>350.63</v>
      </c>
      <c r="G70" s="509">
        <v>96</v>
      </c>
      <c r="H70" s="528">
        <f t="shared" si="8"/>
        <v>33660.479999999996</v>
      </c>
      <c r="I70" s="509">
        <f>+G70</f>
        <v>96</v>
      </c>
      <c r="J70" s="512">
        <f t="shared" si="9"/>
        <v>33660.479999999996</v>
      </c>
      <c r="K70" s="509">
        <v>108</v>
      </c>
      <c r="L70" s="512">
        <f t="shared" si="10"/>
        <v>37868.04</v>
      </c>
    </row>
    <row r="71" spans="1:15" ht="30.75" customHeight="1">
      <c r="A71" s="886"/>
      <c r="B71" s="537" t="s">
        <v>212</v>
      </c>
      <c r="C71" s="514" t="s">
        <v>213</v>
      </c>
      <c r="D71" s="525">
        <v>7130880041</v>
      </c>
      <c r="E71" s="509" t="s">
        <v>14</v>
      </c>
      <c r="F71" s="512">
        <v>123.66</v>
      </c>
      <c r="G71" s="509">
        <v>10</v>
      </c>
      <c r="H71" s="528">
        <f t="shared" si="8"/>
        <v>1236.5999999999999</v>
      </c>
      <c r="I71" s="509">
        <v>10</v>
      </c>
      <c r="J71" s="512">
        <f t="shared" si="9"/>
        <v>1236.5999999999999</v>
      </c>
      <c r="K71" s="509">
        <v>10</v>
      </c>
      <c r="L71" s="512">
        <f t="shared" si="10"/>
        <v>1236.5999999999999</v>
      </c>
      <c r="M71" s="194"/>
    </row>
    <row r="72" spans="1:15" ht="32.25" customHeight="1">
      <c r="A72" s="886"/>
      <c r="B72" s="537" t="s">
        <v>214</v>
      </c>
      <c r="C72" s="541" t="s">
        <v>215</v>
      </c>
      <c r="D72" s="515">
        <v>7130601072</v>
      </c>
      <c r="E72" s="542" t="s">
        <v>17</v>
      </c>
      <c r="F72" s="512">
        <v>83.25</v>
      </c>
      <c r="G72" s="509">
        <v>300</v>
      </c>
      <c r="H72" s="528">
        <f t="shared" si="8"/>
        <v>24975</v>
      </c>
      <c r="I72" s="509">
        <f>+G72</f>
        <v>300</v>
      </c>
      <c r="J72" s="512">
        <f t="shared" si="9"/>
        <v>24975</v>
      </c>
      <c r="K72" s="509">
        <f>+G72</f>
        <v>300</v>
      </c>
      <c r="L72" s="512">
        <f t="shared" si="10"/>
        <v>24975</v>
      </c>
      <c r="M72" s="48"/>
    </row>
    <row r="73" spans="1:15" ht="18.75" customHeight="1">
      <c r="A73" s="887"/>
      <c r="B73" s="513" t="s">
        <v>216</v>
      </c>
      <c r="C73" s="543" t="s">
        <v>217</v>
      </c>
      <c r="D73" s="515">
        <v>7130352046</v>
      </c>
      <c r="E73" s="542" t="s">
        <v>136</v>
      </c>
      <c r="F73" s="512">
        <v>3724.89</v>
      </c>
      <c r="G73" s="509">
        <v>5</v>
      </c>
      <c r="H73" s="528">
        <f t="shared" si="8"/>
        <v>18624.45</v>
      </c>
      <c r="I73" s="509">
        <v>5</v>
      </c>
      <c r="J73" s="512">
        <f t="shared" si="9"/>
        <v>18624.45</v>
      </c>
      <c r="K73" s="509">
        <v>6</v>
      </c>
      <c r="L73" s="512">
        <f t="shared" si="10"/>
        <v>22349.34</v>
      </c>
      <c r="M73" s="195"/>
      <c r="N73" s="196"/>
    </row>
    <row r="74" spans="1:15" ht="15.75">
      <c r="A74" s="544"/>
      <c r="B74" s="97" t="s">
        <v>218</v>
      </c>
      <c r="C74" s="518" t="s">
        <v>219</v>
      </c>
      <c r="D74" s="545"/>
      <c r="E74" s="546"/>
      <c r="F74" s="527"/>
      <c r="G74" s="546"/>
      <c r="H74" s="531">
        <f>SUM(H27:H73)</f>
        <v>2906834.4759999998</v>
      </c>
      <c r="I74" s="531"/>
      <c r="J74" s="531">
        <f>SUM(J27:J73)</f>
        <v>5421317.9460000014</v>
      </c>
      <c r="K74" s="531"/>
      <c r="L74" s="531">
        <f>SUM(L27:L73)</f>
        <v>7099563.1559999995</v>
      </c>
      <c r="M74" s="153"/>
      <c r="N74" s="153"/>
      <c r="O74" s="153"/>
    </row>
    <row r="75" spans="1:15" ht="16.5" customHeight="1">
      <c r="A75" s="890">
        <v>3</v>
      </c>
      <c r="B75" s="546"/>
      <c r="C75" s="547" t="s">
        <v>220</v>
      </c>
      <c r="D75" s="548"/>
      <c r="E75" s="549"/>
      <c r="F75" s="550"/>
      <c r="G75" s="550"/>
      <c r="H75" s="550"/>
      <c r="I75" s="550"/>
      <c r="J75" s="550"/>
      <c r="K75" s="550"/>
      <c r="L75" s="551"/>
      <c r="M75" s="153"/>
      <c r="N75" s="153"/>
      <c r="O75" s="153"/>
    </row>
    <row r="76" spans="1:15" ht="45" customHeight="1">
      <c r="A76" s="886"/>
      <c r="B76" s="513" t="s">
        <v>221</v>
      </c>
      <c r="C76" s="514" t="s">
        <v>222</v>
      </c>
      <c r="D76" s="515">
        <v>7130601958</v>
      </c>
      <c r="E76" s="513" t="s">
        <v>17</v>
      </c>
      <c r="F76" s="512">
        <v>62.81</v>
      </c>
      <c r="G76" s="552">
        <v>2968</v>
      </c>
      <c r="H76" s="528">
        <f t="shared" ref="H76:H92" si="11">F76*G76</f>
        <v>186420.08000000002</v>
      </c>
      <c r="I76" s="552">
        <v>2968</v>
      </c>
      <c r="J76" s="512">
        <f t="shared" ref="J76:J92" si="12">I76*F76</f>
        <v>186420.08000000002</v>
      </c>
      <c r="K76" s="513">
        <v>3561.6</v>
      </c>
      <c r="L76" s="512">
        <f t="shared" ref="L76:L92" si="13">K76*F76</f>
        <v>223704.09599999999</v>
      </c>
    </row>
    <row r="77" spans="1:15" ht="45" customHeight="1">
      <c r="A77" s="886"/>
      <c r="B77" s="513" t="s">
        <v>114</v>
      </c>
      <c r="C77" s="514" t="s">
        <v>223</v>
      </c>
      <c r="D77" s="515">
        <v>7130601958</v>
      </c>
      <c r="E77" s="513" t="s">
        <v>17</v>
      </c>
      <c r="F77" s="512">
        <v>62.81</v>
      </c>
      <c r="G77" s="513">
        <v>1038.8</v>
      </c>
      <c r="H77" s="528">
        <f t="shared" si="11"/>
        <v>65247.027999999998</v>
      </c>
      <c r="I77" s="513">
        <v>1038.8</v>
      </c>
      <c r="J77" s="512">
        <f t="shared" si="12"/>
        <v>65247.027999999998</v>
      </c>
      <c r="K77" s="552">
        <v>1038.8</v>
      </c>
      <c r="L77" s="512">
        <f t="shared" si="13"/>
        <v>65247.027999999998</v>
      </c>
    </row>
    <row r="78" spans="1:15" ht="45.75" customHeight="1">
      <c r="A78" s="886"/>
      <c r="B78" s="513" t="s">
        <v>116</v>
      </c>
      <c r="C78" s="514" t="s">
        <v>224</v>
      </c>
      <c r="D78" s="515">
        <v>7130601958</v>
      </c>
      <c r="E78" s="513" t="s">
        <v>17</v>
      </c>
      <c r="F78" s="512">
        <v>62.81</v>
      </c>
      <c r="G78" s="513">
        <v>3264.8</v>
      </c>
      <c r="H78" s="528">
        <f t="shared" si="11"/>
        <v>205062.08800000002</v>
      </c>
      <c r="I78" s="513">
        <f>+G78</f>
        <v>3264.8</v>
      </c>
      <c r="J78" s="512">
        <f t="shared" si="12"/>
        <v>205062.08800000002</v>
      </c>
      <c r="K78" s="552">
        <v>4081</v>
      </c>
      <c r="L78" s="512">
        <f t="shared" si="13"/>
        <v>256327.61000000002</v>
      </c>
      <c r="M78" s="197"/>
    </row>
    <row r="79" spans="1:15" ht="31.5" customHeight="1">
      <c r="A79" s="886"/>
      <c r="B79" s="513" t="s">
        <v>158</v>
      </c>
      <c r="C79" s="510" t="s">
        <v>225</v>
      </c>
      <c r="D79" s="515">
        <v>7130810684</v>
      </c>
      <c r="E79" s="513" t="s">
        <v>14</v>
      </c>
      <c r="F79" s="512">
        <v>10516.35</v>
      </c>
      <c r="G79" s="552">
        <v>22</v>
      </c>
      <c r="H79" s="528">
        <f>F79*G79</f>
        <v>231359.7</v>
      </c>
      <c r="I79" s="552">
        <v>22</v>
      </c>
      <c r="J79" s="512">
        <f>I79*F79</f>
        <v>231359.7</v>
      </c>
      <c r="K79" s="513">
        <v>28</v>
      </c>
      <c r="L79" s="512">
        <f>K79*F79</f>
        <v>294457.8</v>
      </c>
      <c r="M79" s="197"/>
    </row>
    <row r="80" spans="1:15" ht="30.75" customHeight="1">
      <c r="A80" s="886"/>
      <c r="B80" s="513" t="s">
        <v>123</v>
      </c>
      <c r="C80" s="510" t="s">
        <v>226</v>
      </c>
      <c r="D80" s="515">
        <v>7130810006</v>
      </c>
      <c r="E80" s="513" t="s">
        <v>54</v>
      </c>
      <c r="F80" s="512">
        <v>8465.81</v>
      </c>
      <c r="G80" s="552">
        <v>2</v>
      </c>
      <c r="H80" s="528">
        <f>F80*G80</f>
        <v>16931.62</v>
      </c>
      <c r="I80" s="552">
        <v>2</v>
      </c>
      <c r="J80" s="512">
        <f>I80*F80</f>
        <v>16931.62</v>
      </c>
      <c r="K80" s="513">
        <v>9</v>
      </c>
      <c r="L80" s="512">
        <f>K80*F80</f>
        <v>76192.289999999994</v>
      </c>
      <c r="M80" s="197"/>
    </row>
    <row r="81" spans="1:15" ht="30" customHeight="1">
      <c r="A81" s="886"/>
      <c r="B81" s="513" t="s">
        <v>126</v>
      </c>
      <c r="C81" s="510" t="s">
        <v>227</v>
      </c>
      <c r="D81" s="515">
        <v>7130810608</v>
      </c>
      <c r="E81" s="513" t="s">
        <v>54</v>
      </c>
      <c r="F81" s="512">
        <v>6686.34</v>
      </c>
      <c r="G81" s="552">
        <v>9</v>
      </c>
      <c r="H81" s="528">
        <f t="shared" si="11"/>
        <v>60177.06</v>
      </c>
      <c r="I81" s="552">
        <v>9</v>
      </c>
      <c r="J81" s="512">
        <f t="shared" si="12"/>
        <v>60177.06</v>
      </c>
      <c r="K81" s="513">
        <v>11</v>
      </c>
      <c r="L81" s="512">
        <f t="shared" si="13"/>
        <v>73549.740000000005</v>
      </c>
      <c r="M81" s="197"/>
    </row>
    <row r="82" spans="1:15" ht="30.75" customHeight="1">
      <c r="A82" s="886"/>
      <c r="B82" s="513" t="s">
        <v>129</v>
      </c>
      <c r="C82" s="510" t="s">
        <v>228</v>
      </c>
      <c r="D82" s="553">
        <v>7130810509</v>
      </c>
      <c r="E82" s="513" t="s">
        <v>14</v>
      </c>
      <c r="F82" s="512">
        <v>2065.4699999999998</v>
      </c>
      <c r="G82" s="552">
        <v>1</v>
      </c>
      <c r="H82" s="528">
        <f t="shared" si="11"/>
        <v>2065.4699999999998</v>
      </c>
      <c r="I82" s="552">
        <v>1</v>
      </c>
      <c r="J82" s="512">
        <f t="shared" si="12"/>
        <v>2065.4699999999998</v>
      </c>
      <c r="K82" s="513">
        <v>2</v>
      </c>
      <c r="L82" s="512">
        <f>K82*F82</f>
        <v>4130.9399999999996</v>
      </c>
      <c r="M82" s="197"/>
    </row>
    <row r="83" spans="1:15" ht="16.5" customHeight="1">
      <c r="A83" s="886"/>
      <c r="B83" s="513" t="s">
        <v>166</v>
      </c>
      <c r="C83" s="554" t="s">
        <v>229</v>
      </c>
      <c r="D83" s="511">
        <v>7130600675</v>
      </c>
      <c r="E83" s="513" t="s">
        <v>17</v>
      </c>
      <c r="F83" s="512">
        <v>67.13</v>
      </c>
      <c r="G83" s="552">
        <v>468</v>
      </c>
      <c r="H83" s="528">
        <f>F83*G83</f>
        <v>31416.839999999997</v>
      </c>
      <c r="I83" s="552">
        <v>468</v>
      </c>
      <c r="J83" s="512">
        <f>I83*F83</f>
        <v>31416.839999999997</v>
      </c>
      <c r="K83" s="513">
        <v>546</v>
      </c>
      <c r="L83" s="512">
        <f>K83*F83</f>
        <v>36652.979999999996</v>
      </c>
      <c r="M83" s="198"/>
    </row>
    <row r="84" spans="1:15" ht="18.75" customHeight="1">
      <c r="A84" s="886"/>
      <c r="B84" s="509" t="s">
        <v>134</v>
      </c>
      <c r="C84" s="510" t="s">
        <v>230</v>
      </c>
      <c r="D84" s="515">
        <v>7130830063</v>
      </c>
      <c r="E84" s="509" t="s">
        <v>29</v>
      </c>
      <c r="F84" s="512">
        <v>95.46</v>
      </c>
      <c r="G84" s="509">
        <v>500</v>
      </c>
      <c r="H84" s="528">
        <f t="shared" si="11"/>
        <v>47730</v>
      </c>
      <c r="I84" s="509">
        <v>500</v>
      </c>
      <c r="J84" s="512">
        <f t="shared" si="12"/>
        <v>47730</v>
      </c>
      <c r="K84" s="509">
        <v>600</v>
      </c>
      <c r="L84" s="512">
        <f t="shared" si="13"/>
        <v>57275.999999999993</v>
      </c>
    </row>
    <row r="85" spans="1:15" ht="15.75" customHeight="1">
      <c r="A85" s="886"/>
      <c r="B85" s="509" t="s">
        <v>137</v>
      </c>
      <c r="C85" s="514" t="s">
        <v>231</v>
      </c>
      <c r="D85" s="555">
        <v>7130820009</v>
      </c>
      <c r="E85" s="509" t="s">
        <v>125</v>
      </c>
      <c r="F85" s="512">
        <v>333.95</v>
      </c>
      <c r="G85" s="509">
        <v>6</v>
      </c>
      <c r="H85" s="528">
        <f t="shared" si="11"/>
        <v>2003.6999999999998</v>
      </c>
      <c r="I85" s="509">
        <v>6</v>
      </c>
      <c r="J85" s="512">
        <f t="shared" si="12"/>
        <v>2003.6999999999998</v>
      </c>
      <c r="K85" s="509">
        <v>9</v>
      </c>
      <c r="L85" s="512">
        <f t="shared" si="13"/>
        <v>3005.5499999999997</v>
      </c>
      <c r="M85" s="187"/>
    </row>
    <row r="86" spans="1:15" ht="15.75" customHeight="1">
      <c r="A86" s="886"/>
      <c r="B86" s="509" t="s">
        <v>141</v>
      </c>
      <c r="C86" s="514" t="s">
        <v>232</v>
      </c>
      <c r="D86" s="555">
        <v>7130820008</v>
      </c>
      <c r="E86" s="509" t="s">
        <v>125</v>
      </c>
      <c r="F86" s="512">
        <v>148.62</v>
      </c>
      <c r="G86" s="509">
        <v>9</v>
      </c>
      <c r="H86" s="528">
        <f>F86*G86</f>
        <v>1337.58</v>
      </c>
      <c r="I86" s="509">
        <v>12</v>
      </c>
      <c r="J86" s="512">
        <f>I86*F86</f>
        <v>1783.44</v>
      </c>
      <c r="K86" s="509">
        <v>12</v>
      </c>
      <c r="L86" s="512">
        <f>K86*F86</f>
        <v>1783.44</v>
      </c>
      <c r="M86" s="187"/>
    </row>
    <row r="87" spans="1:15" ht="15.75" customHeight="1">
      <c r="A87" s="886"/>
      <c r="B87" s="513" t="s">
        <v>143</v>
      </c>
      <c r="C87" s="514" t="s">
        <v>233</v>
      </c>
      <c r="D87" s="555">
        <v>7130820013</v>
      </c>
      <c r="E87" s="509" t="s">
        <v>125</v>
      </c>
      <c r="F87" s="512">
        <v>204.36</v>
      </c>
      <c r="G87" s="509">
        <v>81</v>
      </c>
      <c r="H87" s="528">
        <f t="shared" si="11"/>
        <v>16553.16</v>
      </c>
      <c r="I87" s="509">
        <v>81</v>
      </c>
      <c r="J87" s="512">
        <f t="shared" si="12"/>
        <v>16553.16</v>
      </c>
      <c r="K87" s="509">
        <v>81</v>
      </c>
      <c r="L87" s="512">
        <f t="shared" si="13"/>
        <v>16553.16</v>
      </c>
      <c r="M87" s="199"/>
      <c r="N87" s="200"/>
    </row>
    <row r="88" spans="1:15" ht="15.75" customHeight="1">
      <c r="A88" s="886"/>
      <c r="B88" s="513" t="s">
        <v>172</v>
      </c>
      <c r="C88" s="514" t="s">
        <v>234</v>
      </c>
      <c r="D88" s="555">
        <v>7130820248</v>
      </c>
      <c r="E88" s="509" t="s">
        <v>125</v>
      </c>
      <c r="F88" s="512">
        <v>304.86</v>
      </c>
      <c r="G88" s="509">
        <f>27+54</f>
        <v>81</v>
      </c>
      <c r="H88" s="528">
        <f t="shared" si="11"/>
        <v>24693.66</v>
      </c>
      <c r="I88" s="509">
        <f>+G88</f>
        <v>81</v>
      </c>
      <c r="J88" s="512">
        <f t="shared" si="12"/>
        <v>24693.66</v>
      </c>
      <c r="K88" s="509">
        <f>27+75</f>
        <v>102</v>
      </c>
      <c r="L88" s="512">
        <f t="shared" si="13"/>
        <v>31095.72</v>
      </c>
    </row>
    <row r="89" spans="1:15" ht="28.5">
      <c r="A89" s="886"/>
      <c r="B89" s="513" t="s">
        <v>174</v>
      </c>
      <c r="C89" s="556" t="s">
        <v>235</v>
      </c>
      <c r="D89" s="515">
        <v>7130820010</v>
      </c>
      <c r="E89" s="509" t="s">
        <v>125</v>
      </c>
      <c r="F89" s="512">
        <v>126.83</v>
      </c>
      <c r="G89" s="513">
        <v>108</v>
      </c>
      <c r="H89" s="528">
        <f>F89*G89</f>
        <v>13697.64</v>
      </c>
      <c r="I89" s="513">
        <v>108</v>
      </c>
      <c r="J89" s="512">
        <f>I89*F89</f>
        <v>13697.64</v>
      </c>
      <c r="K89" s="513">
        <v>150</v>
      </c>
      <c r="L89" s="512">
        <f>K89*F89</f>
        <v>19024.5</v>
      </c>
      <c r="M89" s="150"/>
    </row>
    <row r="90" spans="1:15" ht="15.75" customHeight="1">
      <c r="A90" s="886"/>
      <c r="B90" s="513" t="s">
        <v>176</v>
      </c>
      <c r="C90" s="510" t="s">
        <v>236</v>
      </c>
      <c r="D90" s="515">
        <v>7130810624</v>
      </c>
      <c r="E90" s="513" t="s">
        <v>125</v>
      </c>
      <c r="F90" s="512">
        <v>118.53</v>
      </c>
      <c r="G90" s="513">
        <v>198</v>
      </c>
      <c r="H90" s="528">
        <f t="shared" si="11"/>
        <v>23468.94</v>
      </c>
      <c r="I90" s="513">
        <f>+G90</f>
        <v>198</v>
      </c>
      <c r="J90" s="512">
        <f t="shared" si="12"/>
        <v>23468.94</v>
      </c>
      <c r="K90" s="513">
        <v>246</v>
      </c>
      <c r="L90" s="512">
        <f t="shared" si="13"/>
        <v>29158.38</v>
      </c>
    </row>
    <row r="91" spans="1:15" ht="15.75" customHeight="1">
      <c r="A91" s="886"/>
      <c r="B91" s="537" t="s">
        <v>178</v>
      </c>
      <c r="C91" s="514" t="s">
        <v>38</v>
      </c>
      <c r="D91" s="537">
        <v>7130211158</v>
      </c>
      <c r="E91" s="537" t="s">
        <v>39</v>
      </c>
      <c r="F91" s="512">
        <v>181.98</v>
      </c>
      <c r="G91" s="513">
        <v>40</v>
      </c>
      <c r="H91" s="528">
        <f t="shared" si="11"/>
        <v>7279.2</v>
      </c>
      <c r="I91" s="513">
        <v>40</v>
      </c>
      <c r="J91" s="512">
        <f t="shared" si="12"/>
        <v>7279.2</v>
      </c>
      <c r="K91" s="513">
        <v>45</v>
      </c>
      <c r="L91" s="512">
        <f t="shared" si="13"/>
        <v>8189.0999999999995</v>
      </c>
      <c r="M91" s="199"/>
      <c r="N91" s="66"/>
    </row>
    <row r="92" spans="1:15" ht="15.75" customHeight="1">
      <c r="A92" s="887"/>
      <c r="B92" s="537" t="s">
        <v>180</v>
      </c>
      <c r="C92" s="514" t="s">
        <v>40</v>
      </c>
      <c r="D92" s="537">
        <v>7130210809</v>
      </c>
      <c r="E92" s="537" t="s">
        <v>39</v>
      </c>
      <c r="F92" s="512">
        <v>406.6</v>
      </c>
      <c r="G92" s="513">
        <v>40</v>
      </c>
      <c r="H92" s="528">
        <f t="shared" si="11"/>
        <v>16264</v>
      </c>
      <c r="I92" s="513">
        <v>40</v>
      </c>
      <c r="J92" s="512">
        <f t="shared" si="12"/>
        <v>16264</v>
      </c>
      <c r="K92" s="513">
        <v>45</v>
      </c>
      <c r="L92" s="512">
        <f t="shared" si="13"/>
        <v>18297</v>
      </c>
      <c r="M92" s="201"/>
      <c r="N92" s="66"/>
    </row>
    <row r="93" spans="1:15" ht="15.75">
      <c r="A93" s="544"/>
      <c r="B93" s="546" t="s">
        <v>184</v>
      </c>
      <c r="C93" s="518" t="s">
        <v>237</v>
      </c>
      <c r="D93" s="545"/>
      <c r="E93" s="546"/>
      <c r="F93" s="527"/>
      <c r="G93" s="546"/>
      <c r="H93" s="531">
        <f>SUM(H76:H92)</f>
        <v>951707.76599999971</v>
      </c>
      <c r="I93" s="531"/>
      <c r="J93" s="531">
        <f>SUM(J76:J92)</f>
        <v>952153.6259999997</v>
      </c>
      <c r="K93" s="531"/>
      <c r="L93" s="531">
        <f>SUM(L76:L92)</f>
        <v>1214645.3339999998</v>
      </c>
      <c r="M93" s="153"/>
      <c r="N93" s="153"/>
      <c r="O93" s="153"/>
    </row>
    <row r="94" spans="1:15" ht="16.5" customHeight="1">
      <c r="A94" s="890">
        <v>4</v>
      </c>
      <c r="B94" s="546"/>
      <c r="C94" s="549" t="s">
        <v>238</v>
      </c>
      <c r="D94" s="549"/>
      <c r="E94" s="550"/>
      <c r="F94" s="550"/>
      <c r="G94" s="550"/>
      <c r="H94" s="550"/>
      <c r="I94" s="550"/>
      <c r="J94" s="550"/>
      <c r="K94" s="550"/>
      <c r="L94" s="551"/>
      <c r="M94" s="153"/>
      <c r="N94" s="153"/>
      <c r="O94" s="153"/>
    </row>
    <row r="95" spans="1:15" ht="31.5" customHeight="1">
      <c r="A95" s="886"/>
      <c r="B95" s="509" t="s">
        <v>112</v>
      </c>
      <c r="C95" s="518" t="s">
        <v>239</v>
      </c>
      <c r="D95" s="511">
        <v>7130200202</v>
      </c>
      <c r="E95" s="509" t="s">
        <v>70</v>
      </c>
      <c r="F95" s="512">
        <v>2970</v>
      </c>
      <c r="G95" s="509">
        <v>51.6</v>
      </c>
      <c r="H95" s="528">
        <f t="shared" ref="H95:H101" si="14">F95*G95</f>
        <v>153252</v>
      </c>
      <c r="I95" s="509">
        <v>60.6</v>
      </c>
      <c r="J95" s="512">
        <f t="shared" ref="J95:J101" si="15">I95*F95</f>
        <v>179982</v>
      </c>
      <c r="K95" s="509">
        <v>67.2</v>
      </c>
      <c r="L95" s="512">
        <f t="shared" ref="L95:L101" si="16">K95*F95</f>
        <v>199584</v>
      </c>
      <c r="M95" s="557" t="s">
        <v>37</v>
      </c>
    </row>
    <row r="96" spans="1:15" ht="30.75" customHeight="1">
      <c r="A96" s="886"/>
      <c r="B96" s="509" t="s">
        <v>114</v>
      </c>
      <c r="C96" s="510" t="s">
        <v>240</v>
      </c>
      <c r="D96" s="511">
        <v>7130311010</v>
      </c>
      <c r="E96" s="509" t="s">
        <v>205</v>
      </c>
      <c r="F96" s="512">
        <v>92.03</v>
      </c>
      <c r="G96" s="509">
        <v>10</v>
      </c>
      <c r="H96" s="528">
        <f>F96*G96</f>
        <v>920.3</v>
      </c>
      <c r="I96" s="509">
        <v>10</v>
      </c>
      <c r="J96" s="512">
        <f t="shared" si="15"/>
        <v>920.3</v>
      </c>
      <c r="K96" s="509">
        <v>10</v>
      </c>
      <c r="L96" s="512">
        <f>K96*F96</f>
        <v>920.3</v>
      </c>
      <c r="M96" s="198"/>
    </row>
    <row r="97" spans="1:16" ht="45" customHeight="1">
      <c r="A97" s="886"/>
      <c r="B97" s="513" t="s">
        <v>116</v>
      </c>
      <c r="C97" s="514" t="s">
        <v>241</v>
      </c>
      <c r="D97" s="511">
        <v>7130311084</v>
      </c>
      <c r="E97" s="513" t="s">
        <v>205</v>
      </c>
      <c r="F97" s="512">
        <v>76.680000000000007</v>
      </c>
      <c r="G97" s="513">
        <v>300</v>
      </c>
      <c r="H97" s="528">
        <f>F97*G97</f>
        <v>23004.000000000004</v>
      </c>
      <c r="I97" s="513">
        <v>300</v>
      </c>
      <c r="J97" s="512">
        <f t="shared" si="15"/>
        <v>23004.000000000004</v>
      </c>
      <c r="K97" s="513">
        <v>300</v>
      </c>
      <c r="L97" s="512">
        <f>K97*F97</f>
        <v>23004.000000000004</v>
      </c>
      <c r="M97" s="178"/>
    </row>
    <row r="98" spans="1:16" ht="18.75" customHeight="1">
      <c r="A98" s="886"/>
      <c r="B98" s="509" t="s">
        <v>158</v>
      </c>
      <c r="C98" s="543" t="s">
        <v>242</v>
      </c>
      <c r="D98" s="511">
        <v>7131210030</v>
      </c>
      <c r="E98" s="558" t="s">
        <v>54</v>
      </c>
      <c r="F98" s="512">
        <v>2379.23</v>
      </c>
      <c r="G98" s="509">
        <v>4</v>
      </c>
      <c r="H98" s="528">
        <f>F98*G98</f>
        <v>9516.92</v>
      </c>
      <c r="I98" s="509">
        <v>4</v>
      </c>
      <c r="J98" s="512">
        <f t="shared" si="15"/>
        <v>9516.92</v>
      </c>
      <c r="K98" s="509">
        <v>4</v>
      </c>
      <c r="L98" s="512">
        <f>K98*F98</f>
        <v>9516.92</v>
      </c>
      <c r="M98" s="202"/>
    </row>
    <row r="99" spans="1:16" ht="18.75" customHeight="1">
      <c r="A99" s="886"/>
      <c r="B99" s="559" t="s">
        <v>123</v>
      </c>
      <c r="C99" s="543" t="s">
        <v>243</v>
      </c>
      <c r="D99" s="511">
        <v>7131210032</v>
      </c>
      <c r="E99" s="558" t="s">
        <v>54</v>
      </c>
      <c r="F99" s="512">
        <v>4347.8</v>
      </c>
      <c r="G99" s="509">
        <v>6</v>
      </c>
      <c r="H99" s="528">
        <f>F99*G99</f>
        <v>26086.800000000003</v>
      </c>
      <c r="I99" s="509">
        <v>6</v>
      </c>
      <c r="J99" s="512">
        <f t="shared" si="15"/>
        <v>26086.800000000003</v>
      </c>
      <c r="K99" s="509">
        <v>6</v>
      </c>
      <c r="L99" s="512">
        <f>K99*F99</f>
        <v>26086.800000000003</v>
      </c>
      <c r="M99" s="202"/>
      <c r="N99" s="203"/>
    </row>
    <row r="100" spans="1:16" ht="17.25" customHeight="1">
      <c r="A100" s="886"/>
      <c r="B100" s="560" t="s">
        <v>126</v>
      </c>
      <c r="C100" s="514" t="s">
        <v>244</v>
      </c>
      <c r="D100" s="511">
        <v>7131920028</v>
      </c>
      <c r="E100" s="509" t="s">
        <v>14</v>
      </c>
      <c r="F100" s="512">
        <v>11255.65</v>
      </c>
      <c r="G100" s="509">
        <v>1</v>
      </c>
      <c r="H100" s="528">
        <f t="shared" si="14"/>
        <v>11255.65</v>
      </c>
      <c r="I100" s="509">
        <v>1</v>
      </c>
      <c r="J100" s="512">
        <f t="shared" si="15"/>
        <v>11255.65</v>
      </c>
      <c r="K100" s="509">
        <v>1</v>
      </c>
      <c r="L100" s="512">
        <f t="shared" si="16"/>
        <v>11255.65</v>
      </c>
      <c r="M100" s="198"/>
      <c r="N100" s="203"/>
    </row>
    <row r="101" spans="1:16" ht="45.75" customHeight="1">
      <c r="A101" s="886"/>
      <c r="B101" s="560" t="s">
        <v>129</v>
      </c>
      <c r="C101" s="514" t="s">
        <v>245</v>
      </c>
      <c r="D101" s="511">
        <v>7132406800</v>
      </c>
      <c r="E101" s="509" t="s">
        <v>115</v>
      </c>
      <c r="F101" s="512">
        <v>11594.76</v>
      </c>
      <c r="G101" s="509">
        <v>1</v>
      </c>
      <c r="H101" s="528">
        <f t="shared" si="14"/>
        <v>11594.76</v>
      </c>
      <c r="I101" s="509">
        <v>1</v>
      </c>
      <c r="J101" s="512">
        <f t="shared" si="15"/>
        <v>11594.76</v>
      </c>
      <c r="K101" s="509">
        <v>1</v>
      </c>
      <c r="L101" s="512">
        <f t="shared" si="16"/>
        <v>11594.76</v>
      </c>
      <c r="M101" s="198"/>
      <c r="N101" s="203"/>
    </row>
    <row r="102" spans="1:16" ht="31.5" customHeight="1">
      <c r="A102" s="886"/>
      <c r="B102" s="891" t="s">
        <v>166</v>
      </c>
      <c r="C102" s="518" t="s">
        <v>246</v>
      </c>
      <c r="D102" s="561"/>
      <c r="E102" s="513" t="s">
        <v>247</v>
      </c>
      <c r="F102" s="98"/>
      <c r="G102" s="513" t="s">
        <v>247</v>
      </c>
      <c r="H102" s="516"/>
      <c r="I102" s="513" t="s">
        <v>247</v>
      </c>
      <c r="J102" s="516"/>
      <c r="K102" s="513" t="s">
        <v>247</v>
      </c>
      <c r="L102" s="562"/>
    </row>
    <row r="103" spans="1:16" ht="29.25" customHeight="1">
      <c r="A103" s="886"/>
      <c r="B103" s="892"/>
      <c r="C103" s="514" t="s">
        <v>248</v>
      </c>
      <c r="D103" s="511">
        <v>7130642041</v>
      </c>
      <c r="E103" s="513" t="s">
        <v>14</v>
      </c>
      <c r="F103" s="512">
        <v>5382.12</v>
      </c>
      <c r="G103" s="513">
        <v>21</v>
      </c>
      <c r="H103" s="528">
        <f t="shared" ref="H103:H109" si="17">F103*G103</f>
        <v>113024.52</v>
      </c>
      <c r="I103" s="513">
        <v>21</v>
      </c>
      <c r="J103" s="512">
        <f t="shared" ref="J103:J109" si="18">I103*F103</f>
        <v>113024.52</v>
      </c>
      <c r="K103" s="513">
        <v>21</v>
      </c>
      <c r="L103" s="512">
        <f t="shared" ref="L103:L109" si="19">K103*F103</f>
        <v>113024.52</v>
      </c>
      <c r="M103" s="197"/>
    </row>
    <row r="104" spans="1:16" ht="58.5" customHeight="1">
      <c r="A104" s="886"/>
      <c r="B104" s="892"/>
      <c r="C104" s="514" t="s">
        <v>249</v>
      </c>
      <c r="D104" s="511">
        <v>7130642039</v>
      </c>
      <c r="E104" s="513" t="s">
        <v>14</v>
      </c>
      <c r="F104" s="512">
        <v>1058.93</v>
      </c>
      <c r="G104" s="513">
        <v>40</v>
      </c>
      <c r="H104" s="516">
        <f t="shared" si="17"/>
        <v>42357.200000000004</v>
      </c>
      <c r="I104" s="513">
        <v>40</v>
      </c>
      <c r="J104" s="516">
        <f t="shared" si="18"/>
        <v>42357.200000000004</v>
      </c>
      <c r="K104" s="513">
        <v>40</v>
      </c>
      <c r="L104" s="512">
        <f t="shared" si="19"/>
        <v>42357.200000000004</v>
      </c>
    </row>
    <row r="105" spans="1:16" ht="30" customHeight="1">
      <c r="A105" s="886"/>
      <c r="B105" s="892"/>
      <c r="C105" s="514" t="s">
        <v>250</v>
      </c>
      <c r="D105" s="513">
        <v>7130600173</v>
      </c>
      <c r="E105" s="513" t="s">
        <v>17</v>
      </c>
      <c r="F105" s="512">
        <v>63.06</v>
      </c>
      <c r="G105" s="513">
        <f>400*2.5</f>
        <v>1000</v>
      </c>
      <c r="H105" s="528">
        <f t="shared" si="17"/>
        <v>63060</v>
      </c>
      <c r="I105" s="513">
        <f>400*2.5</f>
        <v>1000</v>
      </c>
      <c r="J105" s="512">
        <f t="shared" si="18"/>
        <v>63060</v>
      </c>
      <c r="K105" s="513">
        <f>400*2.5</f>
        <v>1000</v>
      </c>
      <c r="L105" s="512">
        <f t="shared" si="19"/>
        <v>63060</v>
      </c>
      <c r="M105" s="204"/>
    </row>
    <row r="106" spans="1:16" ht="15.75" customHeight="1">
      <c r="A106" s="886"/>
      <c r="B106" s="892"/>
      <c r="C106" s="510" t="s">
        <v>251</v>
      </c>
      <c r="D106" s="511">
        <v>7130870043</v>
      </c>
      <c r="E106" s="509" t="s">
        <v>17</v>
      </c>
      <c r="F106" s="512">
        <v>87.81</v>
      </c>
      <c r="G106" s="513">
        <v>31</v>
      </c>
      <c r="H106" s="528">
        <f t="shared" si="17"/>
        <v>2722.11</v>
      </c>
      <c r="I106" s="513">
        <v>31</v>
      </c>
      <c r="J106" s="512">
        <f t="shared" si="18"/>
        <v>2722.11</v>
      </c>
      <c r="K106" s="513">
        <v>31</v>
      </c>
      <c r="L106" s="512">
        <f t="shared" si="19"/>
        <v>2722.11</v>
      </c>
    </row>
    <row r="107" spans="1:16" ht="15.75" customHeight="1">
      <c r="A107" s="886"/>
      <c r="B107" s="892"/>
      <c r="C107" s="510" t="s">
        <v>252</v>
      </c>
      <c r="D107" s="511">
        <v>7130620133</v>
      </c>
      <c r="E107" s="509" t="s">
        <v>17</v>
      </c>
      <c r="F107" s="512">
        <v>113.09</v>
      </c>
      <c r="G107" s="513">
        <v>25</v>
      </c>
      <c r="H107" s="528">
        <f t="shared" si="17"/>
        <v>2827.25</v>
      </c>
      <c r="I107" s="513">
        <v>25</v>
      </c>
      <c r="J107" s="512">
        <f t="shared" si="18"/>
        <v>2827.25</v>
      </c>
      <c r="K107" s="513">
        <v>25</v>
      </c>
      <c r="L107" s="512">
        <f t="shared" si="19"/>
        <v>2827.25</v>
      </c>
    </row>
    <row r="108" spans="1:16" ht="15.75" customHeight="1">
      <c r="A108" s="886"/>
      <c r="B108" s="892"/>
      <c r="C108" s="510" t="s">
        <v>253</v>
      </c>
      <c r="D108" s="511">
        <v>7130620140</v>
      </c>
      <c r="E108" s="509" t="s">
        <v>17</v>
      </c>
      <c r="F108" s="512">
        <v>113.09</v>
      </c>
      <c r="G108" s="513">
        <v>10</v>
      </c>
      <c r="H108" s="528">
        <f t="shared" si="17"/>
        <v>1130.9000000000001</v>
      </c>
      <c r="I108" s="513">
        <v>10</v>
      </c>
      <c r="J108" s="512">
        <f t="shared" si="18"/>
        <v>1130.9000000000001</v>
      </c>
      <c r="K108" s="513">
        <v>10</v>
      </c>
      <c r="L108" s="512">
        <f t="shared" si="19"/>
        <v>1130.9000000000001</v>
      </c>
      <c r="M108" s="183"/>
      <c r="N108" s="183"/>
      <c r="O108" s="183"/>
      <c r="P108" s="183"/>
    </row>
    <row r="109" spans="1:16" ht="15.75" customHeight="1">
      <c r="A109" s="886"/>
      <c r="B109" s="892"/>
      <c r="C109" s="510" t="s">
        <v>254</v>
      </c>
      <c r="D109" s="511">
        <v>7130622922</v>
      </c>
      <c r="E109" s="509" t="s">
        <v>17</v>
      </c>
      <c r="F109" s="512">
        <v>185.92</v>
      </c>
      <c r="G109" s="513">
        <v>5</v>
      </c>
      <c r="H109" s="528">
        <f t="shared" si="17"/>
        <v>929.59999999999991</v>
      </c>
      <c r="I109" s="513">
        <v>5</v>
      </c>
      <c r="J109" s="512">
        <f t="shared" si="18"/>
        <v>929.59999999999991</v>
      </c>
      <c r="K109" s="513">
        <v>5</v>
      </c>
      <c r="L109" s="512">
        <f t="shared" si="19"/>
        <v>929.59999999999991</v>
      </c>
    </row>
    <row r="110" spans="1:16" ht="15.75" customHeight="1">
      <c r="A110" s="886"/>
      <c r="B110" s="892"/>
      <c r="C110" s="518" t="s">
        <v>255</v>
      </c>
      <c r="D110" s="561"/>
      <c r="E110" s="536" t="s">
        <v>17</v>
      </c>
      <c r="F110" s="528"/>
      <c r="G110" s="513">
        <v>186</v>
      </c>
      <c r="H110" s="528"/>
      <c r="I110" s="513">
        <v>270</v>
      </c>
      <c r="J110" s="512"/>
      <c r="K110" s="513">
        <v>270</v>
      </c>
      <c r="L110" s="512"/>
    </row>
    <row r="111" spans="1:16" ht="15.75" customHeight="1">
      <c r="A111" s="886"/>
      <c r="B111" s="892"/>
      <c r="C111" s="510" t="s">
        <v>256</v>
      </c>
      <c r="D111" s="511">
        <v>7130620609</v>
      </c>
      <c r="E111" s="509" t="s">
        <v>17</v>
      </c>
      <c r="F111" s="512">
        <v>81.75</v>
      </c>
      <c r="G111" s="509">
        <v>10</v>
      </c>
      <c r="H111" s="528">
        <f t="shared" ref="H111:H116" si="20">F111*G111</f>
        <v>817.5</v>
      </c>
      <c r="I111" s="509">
        <v>15</v>
      </c>
      <c r="J111" s="512">
        <f t="shared" ref="J111:J116" si="21">I111*F111</f>
        <v>1226.25</v>
      </c>
      <c r="K111" s="509">
        <v>15</v>
      </c>
      <c r="L111" s="512">
        <f t="shared" ref="L111:L116" si="22">K111*F111</f>
        <v>1226.25</v>
      </c>
    </row>
    <row r="112" spans="1:16" ht="15.75" customHeight="1">
      <c r="A112" s="886"/>
      <c r="B112" s="892"/>
      <c r="C112" s="510" t="s">
        <v>257</v>
      </c>
      <c r="D112" s="511">
        <v>7130620614</v>
      </c>
      <c r="E112" s="509" t="s">
        <v>17</v>
      </c>
      <c r="F112" s="512">
        <v>80.39</v>
      </c>
      <c r="G112" s="509">
        <v>5</v>
      </c>
      <c r="H112" s="528">
        <f t="shared" si="20"/>
        <v>401.95</v>
      </c>
      <c r="I112" s="509">
        <v>10</v>
      </c>
      <c r="J112" s="512">
        <f t="shared" si="21"/>
        <v>803.9</v>
      </c>
      <c r="K112" s="509">
        <v>10</v>
      </c>
      <c r="L112" s="512">
        <f t="shared" si="22"/>
        <v>803.9</v>
      </c>
    </row>
    <row r="113" spans="1:17" ht="15.75" customHeight="1">
      <c r="A113" s="886"/>
      <c r="B113" s="892"/>
      <c r="C113" s="510" t="s">
        <v>258</v>
      </c>
      <c r="D113" s="511">
        <v>7130620619</v>
      </c>
      <c r="E113" s="509" t="s">
        <v>17</v>
      </c>
      <c r="F113" s="512">
        <v>80.39</v>
      </c>
      <c r="G113" s="509">
        <v>15</v>
      </c>
      <c r="H113" s="528">
        <f t="shared" si="20"/>
        <v>1205.8499999999999</v>
      </c>
      <c r="I113" s="509">
        <v>25</v>
      </c>
      <c r="J113" s="512">
        <f t="shared" si="21"/>
        <v>2009.75</v>
      </c>
      <c r="K113" s="509">
        <v>25</v>
      </c>
      <c r="L113" s="512">
        <f t="shared" si="22"/>
        <v>2009.75</v>
      </c>
    </row>
    <row r="114" spans="1:17" ht="15.75" customHeight="1">
      <c r="A114" s="886"/>
      <c r="B114" s="892"/>
      <c r="C114" s="510" t="s">
        <v>259</v>
      </c>
      <c r="D114" s="511">
        <v>7130620627</v>
      </c>
      <c r="E114" s="509" t="s">
        <v>17</v>
      </c>
      <c r="F114" s="512">
        <v>79.02</v>
      </c>
      <c r="G114" s="509">
        <v>66</v>
      </c>
      <c r="H114" s="528">
        <f t="shared" si="20"/>
        <v>5215.32</v>
      </c>
      <c r="I114" s="509">
        <v>85</v>
      </c>
      <c r="J114" s="512">
        <f t="shared" si="21"/>
        <v>6716.7</v>
      </c>
      <c r="K114" s="509">
        <v>85</v>
      </c>
      <c r="L114" s="512">
        <f t="shared" si="22"/>
        <v>6716.7</v>
      </c>
    </row>
    <row r="115" spans="1:17" ht="15.75" customHeight="1">
      <c r="A115" s="886"/>
      <c r="B115" s="892"/>
      <c r="C115" s="510" t="s">
        <v>260</v>
      </c>
      <c r="D115" s="511">
        <v>7130620631</v>
      </c>
      <c r="E115" s="509" t="s">
        <v>17</v>
      </c>
      <c r="F115" s="512">
        <v>79.02</v>
      </c>
      <c r="G115" s="509">
        <v>80</v>
      </c>
      <c r="H115" s="528">
        <f t="shared" si="20"/>
        <v>6321.5999999999995</v>
      </c>
      <c r="I115" s="509">
        <v>110</v>
      </c>
      <c r="J115" s="512">
        <f t="shared" si="21"/>
        <v>8692.1999999999989</v>
      </c>
      <c r="K115" s="509">
        <v>110</v>
      </c>
      <c r="L115" s="512">
        <f t="shared" si="22"/>
        <v>8692.1999999999989</v>
      </c>
    </row>
    <row r="116" spans="1:17" ht="15.75" customHeight="1">
      <c r="A116" s="886"/>
      <c r="B116" s="893"/>
      <c r="C116" s="510" t="s">
        <v>261</v>
      </c>
      <c r="D116" s="511">
        <v>7130620637</v>
      </c>
      <c r="E116" s="509" t="s">
        <v>17</v>
      </c>
      <c r="F116" s="512">
        <v>79.02</v>
      </c>
      <c r="G116" s="509">
        <v>10</v>
      </c>
      <c r="H116" s="528">
        <f t="shared" si="20"/>
        <v>790.19999999999993</v>
      </c>
      <c r="I116" s="509">
        <v>25</v>
      </c>
      <c r="J116" s="512">
        <f t="shared" si="21"/>
        <v>1975.5</v>
      </c>
      <c r="K116" s="509">
        <v>25</v>
      </c>
      <c r="L116" s="512">
        <f t="shared" si="22"/>
        <v>1975.5</v>
      </c>
    </row>
    <row r="117" spans="1:17" ht="18.75" customHeight="1">
      <c r="A117" s="886"/>
      <c r="B117" s="894" t="s">
        <v>134</v>
      </c>
      <c r="C117" s="563" t="s">
        <v>262</v>
      </c>
      <c r="D117" s="564"/>
      <c r="E117" s="565"/>
      <c r="F117" s="565"/>
      <c r="G117" s="565"/>
      <c r="H117" s="565"/>
      <c r="I117" s="565"/>
      <c r="J117" s="565"/>
      <c r="K117" s="565"/>
      <c r="L117" s="566"/>
    </row>
    <row r="118" spans="1:17" ht="18" customHeight="1">
      <c r="A118" s="886"/>
      <c r="B118" s="895"/>
      <c r="C118" s="514" t="s">
        <v>263</v>
      </c>
      <c r="D118" s="567"/>
      <c r="E118" s="509" t="s">
        <v>14</v>
      </c>
      <c r="F118" s="512">
        <v>5780</v>
      </c>
      <c r="G118" s="509">
        <v>1</v>
      </c>
      <c r="H118" s="528">
        <f>F118*G118</f>
        <v>5780</v>
      </c>
      <c r="I118" s="509">
        <v>1</v>
      </c>
      <c r="J118" s="512">
        <f>I118*F118</f>
        <v>5780</v>
      </c>
      <c r="K118" s="509">
        <v>1</v>
      </c>
      <c r="L118" s="512">
        <f>K118*F118</f>
        <v>5780</v>
      </c>
      <c r="M118" s="205"/>
    </row>
    <row r="119" spans="1:17" ht="16.5" customHeight="1">
      <c r="A119" s="886"/>
      <c r="B119" s="895"/>
      <c r="C119" s="514" t="s">
        <v>264</v>
      </c>
      <c r="D119" s="511">
        <v>7132409830</v>
      </c>
      <c r="E119" s="509" t="s">
        <v>14</v>
      </c>
      <c r="F119" s="512">
        <v>2914.6</v>
      </c>
      <c r="G119" s="509">
        <v>2</v>
      </c>
      <c r="H119" s="528">
        <f>F119*G119</f>
        <v>5829.2</v>
      </c>
      <c r="I119" s="509">
        <v>2</v>
      </c>
      <c r="J119" s="512">
        <f>I119*F119</f>
        <v>5829.2</v>
      </c>
      <c r="K119" s="509">
        <v>2</v>
      </c>
      <c r="L119" s="512">
        <f>K119*F119</f>
        <v>5829.2</v>
      </c>
      <c r="M119" s="197"/>
    </row>
    <row r="120" spans="1:17" ht="16.5" customHeight="1">
      <c r="A120" s="886"/>
      <c r="B120" s="896"/>
      <c r="C120" s="514" t="s">
        <v>265</v>
      </c>
      <c r="D120" s="511">
        <v>7132401672</v>
      </c>
      <c r="E120" s="509" t="s">
        <v>14</v>
      </c>
      <c r="F120" s="512">
        <v>5450</v>
      </c>
      <c r="G120" s="509">
        <v>1</v>
      </c>
      <c r="H120" s="528">
        <f>F120*G120</f>
        <v>5450</v>
      </c>
      <c r="I120" s="509">
        <v>1</v>
      </c>
      <c r="J120" s="512">
        <f>I120*F120</f>
        <v>5450</v>
      </c>
      <c r="K120" s="509">
        <v>1</v>
      </c>
      <c r="L120" s="512">
        <f>K120*F120</f>
        <v>5450</v>
      </c>
    </row>
    <row r="121" spans="1:17" ht="15.75" customHeight="1">
      <c r="A121" s="886"/>
      <c r="B121" s="891" t="s">
        <v>137</v>
      </c>
      <c r="C121" s="518" t="s">
        <v>266</v>
      </c>
      <c r="D121" s="561"/>
      <c r="E121" s="513" t="s">
        <v>247</v>
      </c>
      <c r="F121" s="516"/>
      <c r="G121" s="513"/>
      <c r="H121" s="516"/>
      <c r="I121" s="513"/>
      <c r="J121" s="516"/>
      <c r="K121" s="513"/>
      <c r="L121" s="516"/>
    </row>
    <row r="122" spans="1:17" ht="31.5" customHeight="1">
      <c r="A122" s="886"/>
      <c r="B122" s="892"/>
      <c r="C122" s="514" t="s">
        <v>267</v>
      </c>
      <c r="D122" s="511">
        <v>7132490006</v>
      </c>
      <c r="E122" s="513" t="s">
        <v>14</v>
      </c>
      <c r="F122" s="512">
        <v>5357.02</v>
      </c>
      <c r="G122" s="513">
        <v>2</v>
      </c>
      <c r="H122" s="528">
        <f>F122*G122</f>
        <v>10714.04</v>
      </c>
      <c r="I122" s="513">
        <v>2</v>
      </c>
      <c r="J122" s="512">
        <f>I122*F122</f>
        <v>10714.04</v>
      </c>
      <c r="K122" s="513">
        <v>2</v>
      </c>
      <c r="L122" s="512">
        <f>K122*F122</f>
        <v>10714.04</v>
      </c>
    </row>
    <row r="123" spans="1:17" ht="35.25" customHeight="1">
      <c r="A123" s="886"/>
      <c r="B123" s="893"/>
      <c r="C123" s="514" t="s">
        <v>268</v>
      </c>
      <c r="D123" s="511">
        <v>7132421002</v>
      </c>
      <c r="E123" s="513" t="s">
        <v>14</v>
      </c>
      <c r="F123" s="512">
        <v>5990.38</v>
      </c>
      <c r="G123" s="513">
        <v>2</v>
      </c>
      <c r="H123" s="528">
        <f>F123*G123</f>
        <v>11980.76</v>
      </c>
      <c r="I123" s="513">
        <v>2</v>
      </c>
      <c r="J123" s="512">
        <f>I123*F123</f>
        <v>11980.76</v>
      </c>
      <c r="K123" s="513">
        <v>2</v>
      </c>
      <c r="L123" s="512">
        <f>K123*F123</f>
        <v>11980.76</v>
      </c>
    </row>
    <row r="124" spans="1:17" ht="30.75" customHeight="1">
      <c r="A124" s="887"/>
      <c r="B124" s="537" t="s">
        <v>141</v>
      </c>
      <c r="C124" s="514" t="s">
        <v>269</v>
      </c>
      <c r="D124" s="511">
        <v>7132448003</v>
      </c>
      <c r="E124" s="513" t="s">
        <v>14</v>
      </c>
      <c r="F124" s="512">
        <v>4928.43</v>
      </c>
      <c r="G124" s="513">
        <v>3</v>
      </c>
      <c r="H124" s="528">
        <f>F124*G124</f>
        <v>14785.29</v>
      </c>
      <c r="I124" s="513">
        <v>3</v>
      </c>
      <c r="J124" s="512">
        <f>I124*F124</f>
        <v>14785.29</v>
      </c>
      <c r="K124" s="513">
        <v>3</v>
      </c>
      <c r="L124" s="512">
        <f>K124*F124</f>
        <v>14785.29</v>
      </c>
      <c r="M124" s="148"/>
      <c r="N124" s="153"/>
      <c r="O124" s="153"/>
    </row>
    <row r="125" spans="1:17" ht="16.5" customHeight="1">
      <c r="A125" s="544"/>
      <c r="B125" s="97" t="s">
        <v>143</v>
      </c>
      <c r="C125" s="518" t="s">
        <v>270</v>
      </c>
      <c r="D125" s="561"/>
      <c r="E125" s="546"/>
      <c r="F125" s="97"/>
      <c r="G125" s="97"/>
      <c r="H125" s="520">
        <f>SUM(H95:H124)</f>
        <v>530973.72</v>
      </c>
      <c r="I125" s="520"/>
      <c r="J125" s="520">
        <f>SUM(J95:J124)</f>
        <v>564375.60000000009</v>
      </c>
      <c r="K125" s="520"/>
      <c r="L125" s="520">
        <f>SUM(L95:L124)</f>
        <v>583977.60000000009</v>
      </c>
      <c r="M125" s="501"/>
      <c r="N125" s="501"/>
      <c r="O125" s="501"/>
    </row>
    <row r="126" spans="1:17" ht="29.25" customHeight="1">
      <c r="A126" s="568">
        <v>5</v>
      </c>
      <c r="B126" s="536"/>
      <c r="C126" s="514" t="s">
        <v>271</v>
      </c>
      <c r="D126" s="561"/>
      <c r="E126" s="569"/>
      <c r="F126" s="509"/>
      <c r="G126" s="509"/>
      <c r="H126" s="512">
        <f>H125+H93+H74+H25</f>
        <v>7283390.9619999994</v>
      </c>
      <c r="I126" s="512"/>
      <c r="J126" s="512">
        <f>J125+J93+J74+J25</f>
        <v>9831722.1720000021</v>
      </c>
      <c r="K126" s="512"/>
      <c r="L126" s="512">
        <f>L125+L93+L74+L25</f>
        <v>11792061.09</v>
      </c>
      <c r="M126" s="502"/>
      <c r="N126" s="502"/>
      <c r="O126" s="502"/>
      <c r="P126" s="206"/>
      <c r="Q126" s="206"/>
    </row>
    <row r="127" spans="1:17" ht="31.5" customHeight="1">
      <c r="A127" s="568">
        <v>6</v>
      </c>
      <c r="B127" s="536"/>
      <c r="C127" s="514" t="s">
        <v>272</v>
      </c>
      <c r="D127" s="561"/>
      <c r="E127" s="569"/>
      <c r="F127" s="509"/>
      <c r="G127" s="509"/>
      <c r="H127" s="512">
        <f>H126/1.18</f>
        <v>6172365.2220338983</v>
      </c>
      <c r="I127" s="512"/>
      <c r="J127" s="512">
        <f>J126/1.18</f>
        <v>8331967.9423728837</v>
      </c>
      <c r="K127" s="512"/>
      <c r="L127" s="512">
        <f>L126/1.18</f>
        <v>9993272.1101694927</v>
      </c>
      <c r="M127" s="48"/>
      <c r="N127" s="206"/>
      <c r="O127" s="206"/>
      <c r="P127" s="206"/>
      <c r="Q127" s="206"/>
    </row>
    <row r="128" spans="1:17" ht="33.75" customHeight="1">
      <c r="A128" s="568">
        <v>7</v>
      </c>
      <c r="B128" s="536"/>
      <c r="C128" s="510" t="s">
        <v>273</v>
      </c>
      <c r="D128" s="561"/>
      <c r="E128" s="569"/>
      <c r="F128" s="509">
        <v>7.4999999999999997E-2</v>
      </c>
      <c r="G128" s="509"/>
      <c r="H128" s="512">
        <f>H126*F128</f>
        <v>546254.32214999991</v>
      </c>
      <c r="I128" s="509"/>
      <c r="J128" s="512">
        <f>J126*F128</f>
        <v>737379.16290000011</v>
      </c>
      <c r="K128" s="509"/>
      <c r="L128" s="512">
        <f>L126*F128</f>
        <v>884404.58175000001</v>
      </c>
      <c r="M128" s="570"/>
      <c r="N128" s="208"/>
    </row>
    <row r="129" spans="1:17" ht="16.5" customHeight="1">
      <c r="A129" s="886">
        <v>8</v>
      </c>
      <c r="B129" s="509" t="s">
        <v>274</v>
      </c>
      <c r="C129" s="510" t="s">
        <v>275</v>
      </c>
      <c r="D129" s="561"/>
      <c r="E129" s="509" t="s">
        <v>14</v>
      </c>
      <c r="F129" s="512">
        <f>27670.38664908*1.055*1.035</f>
        <v>30213.986941796677</v>
      </c>
      <c r="G129" s="509">
        <v>1</v>
      </c>
      <c r="H129" s="528">
        <f>F129*G129</f>
        <v>30213.986941796677</v>
      </c>
      <c r="I129" s="509">
        <v>1</v>
      </c>
      <c r="J129" s="512">
        <f>I129*F129</f>
        <v>30213.986941796677</v>
      </c>
      <c r="K129" s="509">
        <v>1</v>
      </c>
      <c r="L129" s="512">
        <f>K129*F129</f>
        <v>30213.986941796677</v>
      </c>
    </row>
    <row r="130" spans="1:17" ht="36.75" customHeight="1">
      <c r="A130" s="886"/>
      <c r="B130" s="513" t="s">
        <v>276</v>
      </c>
      <c r="C130" s="510" t="s">
        <v>277</v>
      </c>
      <c r="D130" s="561"/>
      <c r="E130" s="571" t="s">
        <v>139</v>
      </c>
      <c r="F130" s="512">
        <v>2155</v>
      </c>
      <c r="G130" s="509">
        <v>70</v>
      </c>
      <c r="H130" s="528">
        <f>F130*G130</f>
        <v>150850</v>
      </c>
      <c r="I130" s="509">
        <v>70</v>
      </c>
      <c r="J130" s="512">
        <f>I130*F130</f>
        <v>150850</v>
      </c>
      <c r="K130" s="509">
        <v>80</v>
      </c>
      <c r="L130" s="512">
        <f>K130*F130</f>
        <v>172400</v>
      </c>
      <c r="M130" s="572"/>
    </row>
    <row r="131" spans="1:17" ht="16.5" customHeight="1">
      <c r="A131" s="886"/>
      <c r="B131" s="509" t="s">
        <v>278</v>
      </c>
      <c r="C131" s="514" t="s">
        <v>279</v>
      </c>
      <c r="D131" s="561"/>
      <c r="E131" s="509" t="s">
        <v>14</v>
      </c>
      <c r="F131" s="512">
        <f>17809.6618170124*1.055*1.035</f>
        <v>19446.814979541261</v>
      </c>
      <c r="G131" s="509">
        <v>1</v>
      </c>
      <c r="H131" s="528">
        <f>F131*G131</f>
        <v>19446.814979541261</v>
      </c>
      <c r="I131" s="509">
        <v>1</v>
      </c>
      <c r="J131" s="512">
        <f>I131*F131</f>
        <v>19446.814979541261</v>
      </c>
      <c r="K131" s="509">
        <v>1</v>
      </c>
      <c r="L131" s="512">
        <f>K131*F131</f>
        <v>19446.814979541261</v>
      </c>
      <c r="M131" s="210"/>
    </row>
    <row r="132" spans="1:17" ht="16.5" customHeight="1">
      <c r="A132" s="887"/>
      <c r="B132" s="537" t="s">
        <v>280</v>
      </c>
      <c r="C132" s="514" t="s">
        <v>281</v>
      </c>
      <c r="D132" s="561"/>
      <c r="E132" s="513" t="s">
        <v>14</v>
      </c>
      <c r="F132" s="516">
        <f>14841.3848407866*1.055*1.035</f>
        <v>16205.679142275907</v>
      </c>
      <c r="G132" s="513">
        <v>1</v>
      </c>
      <c r="H132" s="528">
        <f>F132*G132</f>
        <v>16205.679142275907</v>
      </c>
      <c r="I132" s="513">
        <v>1</v>
      </c>
      <c r="J132" s="512">
        <f>I132*F132</f>
        <v>16205.679142275907</v>
      </c>
      <c r="K132" s="513">
        <v>1</v>
      </c>
      <c r="L132" s="512">
        <f>K132*F132</f>
        <v>16205.679142275907</v>
      </c>
      <c r="M132" s="210"/>
    </row>
    <row r="133" spans="1:17" ht="19.5" customHeight="1">
      <c r="A133" s="509">
        <v>9</v>
      </c>
      <c r="B133" s="536"/>
      <c r="C133" s="510" t="s">
        <v>282</v>
      </c>
      <c r="D133" s="561"/>
      <c r="E133" s="569"/>
      <c r="F133" s="509"/>
      <c r="G133" s="512"/>
      <c r="H133" s="512">
        <f>171847.2+61065</f>
        <v>232912.2</v>
      </c>
      <c r="I133" s="512"/>
      <c r="J133" s="512">
        <f>174483.26+74106</f>
        <v>248589.26</v>
      </c>
      <c r="K133" s="512"/>
      <c r="L133" s="512">
        <f>197213.85+85491</f>
        <v>282704.84999999998</v>
      </c>
      <c r="M133" s="163"/>
    </row>
    <row r="134" spans="1:17" ht="17.25" customHeight="1">
      <c r="A134" s="509">
        <v>10</v>
      </c>
      <c r="B134" s="536"/>
      <c r="C134" s="510" t="s">
        <v>69</v>
      </c>
      <c r="D134" s="561"/>
      <c r="E134" s="509" t="s">
        <v>70</v>
      </c>
      <c r="F134" s="512">
        <f>609.17479416*1.055*1.035</f>
        <v>665.17318711315795</v>
      </c>
      <c r="G134" s="509">
        <v>51.6</v>
      </c>
      <c r="H134" s="512">
        <f>F134*G134</f>
        <v>34322.936455038951</v>
      </c>
      <c r="I134" s="509">
        <v>60.6</v>
      </c>
      <c r="J134" s="512">
        <f>F134*I134</f>
        <v>40309.49513905737</v>
      </c>
      <c r="K134" s="509">
        <v>67.2</v>
      </c>
      <c r="L134" s="512">
        <f>F134*K134</f>
        <v>44699.63817400422</v>
      </c>
      <c r="M134" s="211"/>
    </row>
    <row r="135" spans="1:17" ht="28.5">
      <c r="A135" s="509">
        <v>11</v>
      </c>
      <c r="B135" s="536"/>
      <c r="C135" s="510" t="s">
        <v>492</v>
      </c>
      <c r="D135" s="561"/>
      <c r="E135" s="569"/>
      <c r="F135" s="509"/>
      <c r="G135" s="512"/>
      <c r="H135" s="512">
        <f>H127*0.04</f>
        <v>246894.60888135593</v>
      </c>
      <c r="I135" s="509"/>
      <c r="J135" s="512">
        <f>J127*0.04</f>
        <v>333278.71769491537</v>
      </c>
      <c r="K135" s="512"/>
      <c r="L135" s="512">
        <f>L127*0.04</f>
        <v>399730.88440677972</v>
      </c>
      <c r="M135" s="573"/>
      <c r="N135" s="213"/>
    </row>
    <row r="136" spans="1:17" ht="63" customHeight="1">
      <c r="A136" s="532">
        <v>12</v>
      </c>
      <c r="B136" s="536"/>
      <c r="C136" s="541" t="s">
        <v>283</v>
      </c>
      <c r="D136" s="561"/>
      <c r="E136" s="569"/>
      <c r="F136" s="509"/>
      <c r="G136" s="512"/>
      <c r="H136" s="512">
        <f>(H126+H128+H129+H130+H131+H132+H133+H134+H135)*0.125</f>
        <v>1070061.4388187509</v>
      </c>
      <c r="I136" s="512"/>
      <c r="J136" s="512">
        <f>(J126+J128+J129+J130+J131+J132+J133+J134+J135)*0.125</f>
        <v>1425999.4110996986</v>
      </c>
      <c r="K136" s="512"/>
      <c r="L136" s="512">
        <f>(L126+L128+L129+L130+L131+L132+L133+L134+L135)*0.125</f>
        <v>1705233.4406742996</v>
      </c>
      <c r="M136" s="212"/>
      <c r="N136" s="213"/>
    </row>
    <row r="137" spans="1:17" ht="60" customHeight="1">
      <c r="A137" s="574">
        <v>13</v>
      </c>
      <c r="B137" s="536"/>
      <c r="C137" s="514" t="s">
        <v>284</v>
      </c>
      <c r="D137" s="561"/>
      <c r="E137" s="569"/>
      <c r="F137" s="512"/>
      <c r="G137" s="512"/>
      <c r="H137" s="512">
        <f>(H127+H128+H129+H130+H131+H132+H133+H134+H135+H136)</f>
        <v>8519527.209402658</v>
      </c>
      <c r="I137" s="512"/>
      <c r="J137" s="512">
        <f>(J127+J128+J129+J130+J131+J132+J133+J134+J135+J136)</f>
        <v>11334240.470270168</v>
      </c>
      <c r="K137" s="512"/>
      <c r="L137" s="512">
        <f>(L127+L128+L129+L130+L131+L132+L133+L134+L135+L136)</f>
        <v>13548311.986238189</v>
      </c>
      <c r="M137" s="206"/>
      <c r="N137" s="206"/>
      <c r="O137" s="206"/>
      <c r="P137" s="206"/>
      <c r="Q137" s="206"/>
    </row>
    <row r="138" spans="1:17" ht="16.5" customHeight="1">
      <c r="A138" s="575">
        <v>14</v>
      </c>
      <c r="B138" s="536"/>
      <c r="C138" s="514" t="s">
        <v>285</v>
      </c>
      <c r="D138" s="561"/>
      <c r="E138" s="569"/>
      <c r="F138" s="509"/>
      <c r="G138" s="509"/>
      <c r="H138" s="520">
        <f>H137/100000</f>
        <v>85.195272094026578</v>
      </c>
      <c r="I138" s="520"/>
      <c r="J138" s="520">
        <f>J137/100000</f>
        <v>113.34240470270169</v>
      </c>
      <c r="K138" s="520"/>
      <c r="L138" s="520">
        <f>L137/100000</f>
        <v>135.4831198623819</v>
      </c>
    </row>
    <row r="139" spans="1:17" ht="16.5" customHeight="1">
      <c r="A139" s="575">
        <v>15</v>
      </c>
      <c r="B139" s="536"/>
      <c r="C139" s="541" t="s">
        <v>286</v>
      </c>
      <c r="D139" s="561"/>
      <c r="E139" s="569"/>
      <c r="F139" s="509">
        <v>0.09</v>
      </c>
      <c r="G139" s="509"/>
      <c r="H139" s="512">
        <f>H137*F139</f>
        <v>766757.44884623925</v>
      </c>
      <c r="I139" s="512"/>
      <c r="J139" s="512">
        <f>J137*F139</f>
        <v>1020081.642324315</v>
      </c>
      <c r="K139" s="512"/>
      <c r="L139" s="512">
        <f>L137*F139</f>
        <v>1219348.078761437</v>
      </c>
    </row>
    <row r="140" spans="1:17" ht="16.5" customHeight="1">
      <c r="A140" s="574">
        <v>16</v>
      </c>
      <c r="B140" s="536"/>
      <c r="C140" s="541" t="s">
        <v>287</v>
      </c>
      <c r="D140" s="561"/>
      <c r="E140" s="569"/>
      <c r="F140" s="509">
        <v>0.09</v>
      </c>
      <c r="G140" s="509"/>
      <c r="H140" s="512">
        <f>H137*F140</f>
        <v>766757.44884623925</v>
      </c>
      <c r="I140" s="512"/>
      <c r="J140" s="512">
        <f>J137*F140</f>
        <v>1020081.642324315</v>
      </c>
      <c r="K140" s="512"/>
      <c r="L140" s="512">
        <f>L137*F140</f>
        <v>1219348.078761437</v>
      </c>
      <c r="M140" s="214"/>
    </row>
    <row r="141" spans="1:17" ht="32.25" customHeight="1">
      <c r="A141" s="574">
        <v>17</v>
      </c>
      <c r="B141" s="536"/>
      <c r="C141" s="510" t="s">
        <v>288</v>
      </c>
      <c r="D141" s="561"/>
      <c r="E141" s="569"/>
      <c r="F141" s="509"/>
      <c r="G141" s="509"/>
      <c r="H141" s="512">
        <f>H137+H139+H140</f>
        <v>10053042.107095137</v>
      </c>
      <c r="I141" s="512"/>
      <c r="J141" s="512">
        <f>J137+J139+J140</f>
        <v>13374403.754918799</v>
      </c>
      <c r="K141" s="512"/>
      <c r="L141" s="512">
        <f>L137+L139+L140</f>
        <v>15987008.143761061</v>
      </c>
    </row>
    <row r="142" spans="1:17" ht="31.5" customHeight="1">
      <c r="A142" s="574">
        <v>18</v>
      </c>
      <c r="B142" s="536"/>
      <c r="C142" s="514" t="s">
        <v>289</v>
      </c>
      <c r="D142" s="561"/>
      <c r="E142" s="569"/>
      <c r="F142" s="509"/>
      <c r="G142" s="512"/>
      <c r="H142" s="512">
        <f>ROUND(H141,0)</f>
        <v>10053042</v>
      </c>
      <c r="I142" s="512"/>
      <c r="J142" s="512">
        <f>ROUND(J141,0)</f>
        <v>13374404</v>
      </c>
      <c r="K142" s="512"/>
      <c r="L142" s="512">
        <f>ROUND(L141,0)</f>
        <v>15987008</v>
      </c>
    </row>
    <row r="143" spans="1:17" ht="18.75" customHeight="1">
      <c r="A143" s="576">
        <v>19</v>
      </c>
      <c r="B143" s="546"/>
      <c r="C143" s="518" t="s">
        <v>290</v>
      </c>
      <c r="D143" s="545"/>
      <c r="E143" s="577"/>
      <c r="F143" s="97"/>
      <c r="G143" s="97"/>
      <c r="H143" s="520">
        <f>H142/100000</f>
        <v>100.53042000000001</v>
      </c>
      <c r="I143" s="97"/>
      <c r="J143" s="520">
        <f>J142/100000</f>
        <v>133.74404000000001</v>
      </c>
      <c r="K143" s="97"/>
      <c r="L143" s="520">
        <f>L142/100000</f>
        <v>159.87008</v>
      </c>
    </row>
    <row r="144" spans="1:17" ht="18.75" customHeight="1">
      <c r="A144" s="215"/>
      <c r="B144" s="216"/>
      <c r="C144" s="217"/>
      <c r="D144" s="218"/>
      <c r="E144" s="219"/>
      <c r="F144" s="220"/>
      <c r="G144" s="220"/>
      <c r="H144" s="221"/>
      <c r="I144" s="220"/>
      <c r="J144" s="221"/>
      <c r="K144" s="220"/>
      <c r="L144" s="221"/>
    </row>
    <row r="145" spans="1:14" ht="15.75">
      <c r="A145" s="222" t="s">
        <v>291</v>
      </c>
      <c r="B145" s="223"/>
      <c r="C145" s="224"/>
      <c r="D145" s="225"/>
      <c r="E145" s="226"/>
      <c r="F145" s="226"/>
      <c r="G145" s="226"/>
      <c r="H145" s="226"/>
      <c r="I145" s="227"/>
      <c r="J145" s="226"/>
      <c r="K145" s="227"/>
      <c r="L145" s="227"/>
      <c r="M145" s="153"/>
    </row>
    <row r="146" spans="1:14" ht="21" customHeight="1">
      <c r="A146" s="228"/>
      <c r="B146" s="229" t="s">
        <v>292</v>
      </c>
      <c r="C146" s="888" t="s">
        <v>79</v>
      </c>
      <c r="D146" s="888"/>
      <c r="E146" s="888"/>
      <c r="F146" s="888"/>
      <c r="G146" s="888"/>
      <c r="H146" s="888"/>
      <c r="I146" s="888"/>
      <c r="J146" s="888"/>
      <c r="K146" s="888"/>
      <c r="L146" s="888"/>
    </row>
    <row r="147" spans="1:14" ht="66.75" customHeight="1">
      <c r="A147" s="228"/>
      <c r="B147" s="230" t="s">
        <v>293</v>
      </c>
      <c r="C147" s="889" t="s">
        <v>294</v>
      </c>
      <c r="D147" s="889"/>
      <c r="E147" s="889"/>
      <c r="F147" s="889"/>
      <c r="G147" s="889"/>
      <c r="H147" s="889"/>
      <c r="I147" s="889"/>
      <c r="J147" s="889"/>
      <c r="K147" s="889"/>
      <c r="L147" s="889"/>
    </row>
    <row r="148" spans="1:14" ht="36" customHeight="1">
      <c r="A148" s="231"/>
      <c r="B148" s="230" t="s">
        <v>295</v>
      </c>
      <c r="C148" s="889" t="s">
        <v>296</v>
      </c>
      <c r="D148" s="889"/>
      <c r="E148" s="889"/>
      <c r="F148" s="889"/>
      <c r="G148" s="889"/>
      <c r="H148" s="889"/>
      <c r="I148" s="889"/>
      <c r="J148" s="889"/>
      <c r="K148" s="889"/>
      <c r="L148" s="889"/>
    </row>
    <row r="149" spans="1:14" ht="23.25">
      <c r="A149" s="231"/>
      <c r="B149" s="232" t="s">
        <v>297</v>
      </c>
      <c r="C149" s="233" t="s">
        <v>298</v>
      </c>
      <c r="D149" s="234"/>
      <c r="E149" s="231"/>
      <c r="F149" s="231"/>
      <c r="G149" s="231"/>
      <c r="H149" s="153"/>
      <c r="I149" s="153"/>
      <c r="J149" s="153"/>
      <c r="K149" s="153"/>
      <c r="L149" s="153"/>
      <c r="M149" s="153"/>
      <c r="N149" s="153"/>
    </row>
    <row r="150" spans="1:14" ht="15">
      <c r="C150" s="235"/>
      <c r="D150" s="236"/>
      <c r="H150" s="237"/>
      <c r="I150" s="237"/>
      <c r="J150" s="237"/>
      <c r="K150" s="237"/>
      <c r="L150" s="237"/>
      <c r="M150" s="153"/>
      <c r="N150" s="153"/>
    </row>
    <row r="151" spans="1:14">
      <c r="H151" s="153"/>
      <c r="I151" s="153"/>
      <c r="J151" s="153"/>
      <c r="K151" s="153"/>
      <c r="L151" s="153"/>
      <c r="M151" s="153"/>
      <c r="N151" s="153"/>
    </row>
    <row r="152" spans="1:14" ht="14.25">
      <c r="G152" s="205"/>
      <c r="H152" s="502"/>
      <c r="I152" s="502"/>
      <c r="J152" s="502"/>
      <c r="K152" s="502"/>
      <c r="L152" s="502"/>
      <c r="M152" s="153"/>
      <c r="N152" s="153"/>
    </row>
    <row r="153" spans="1:14" ht="14.25">
      <c r="G153" s="205"/>
      <c r="H153" s="212"/>
      <c r="I153" s="212"/>
      <c r="J153" s="212"/>
      <c r="K153" s="212"/>
      <c r="L153" s="212"/>
    </row>
    <row r="154" spans="1:14" ht="14.25">
      <c r="G154" s="205"/>
      <c r="H154" s="502"/>
      <c r="I154" s="502"/>
      <c r="J154" s="502"/>
      <c r="K154" s="502"/>
      <c r="L154" s="502"/>
    </row>
    <row r="155" spans="1:14" ht="14.25">
      <c r="G155" s="205"/>
      <c r="H155" s="212"/>
      <c r="I155" s="212"/>
      <c r="J155" s="212"/>
      <c r="K155" s="212"/>
      <c r="L155" s="212"/>
    </row>
    <row r="156" spans="1:14" ht="15">
      <c r="H156" s="503"/>
      <c r="I156" s="503"/>
      <c r="J156" s="503"/>
      <c r="K156" s="503"/>
      <c r="L156" s="503"/>
    </row>
    <row r="157" spans="1:14" ht="14.25">
      <c r="H157" s="212"/>
      <c r="I157" s="212"/>
      <c r="J157" s="212"/>
      <c r="K157" s="212"/>
      <c r="L157" s="212"/>
    </row>
    <row r="158" spans="1:14">
      <c r="H158" s="501"/>
      <c r="I158" s="501"/>
      <c r="J158" s="501"/>
      <c r="K158" s="501"/>
      <c r="L158" s="501"/>
    </row>
    <row r="166" spans="6:12">
      <c r="F166" s="194"/>
      <c r="G166" s="194"/>
      <c r="H166" s="194"/>
      <c r="I166" s="194"/>
      <c r="J166" s="194"/>
    </row>
    <row r="168" spans="6:12" ht="12.75" customHeight="1">
      <c r="F168" s="194"/>
      <c r="G168" s="194"/>
      <c r="H168" s="194"/>
      <c r="I168" s="194"/>
      <c r="J168" s="194"/>
    </row>
    <row r="170" spans="6:12">
      <c r="F170" s="194"/>
      <c r="G170" s="194"/>
      <c r="H170" s="194"/>
      <c r="I170" s="194"/>
      <c r="J170" s="194"/>
    </row>
    <row r="173" spans="6:12" ht="14.25">
      <c r="H173" s="187"/>
      <c r="I173" s="187"/>
      <c r="J173" s="187"/>
      <c r="K173" s="187"/>
      <c r="L173" s="187"/>
    </row>
  </sheetData>
  <mergeCells count="28">
    <mergeCell ref="E1:H1"/>
    <mergeCell ref="C3:J3"/>
    <mergeCell ref="A6:A9"/>
    <mergeCell ref="B6:C9"/>
    <mergeCell ref="D6:D9"/>
    <mergeCell ref="E6:E9"/>
    <mergeCell ref="F6:F9"/>
    <mergeCell ref="G6:H8"/>
    <mergeCell ref="I6:J8"/>
    <mergeCell ref="K6:L8"/>
    <mergeCell ref="B10:C10"/>
    <mergeCell ref="A11:A25"/>
    <mergeCell ref="A26:A73"/>
    <mergeCell ref="B27:B29"/>
    <mergeCell ref="B30:B33"/>
    <mergeCell ref="B34:B37"/>
    <mergeCell ref="B38:B40"/>
    <mergeCell ref="B53:B55"/>
    <mergeCell ref="B56:B57"/>
    <mergeCell ref="A129:A132"/>
    <mergeCell ref="C146:L146"/>
    <mergeCell ref="C147:L147"/>
    <mergeCell ref="C148:L148"/>
    <mergeCell ref="A75:A92"/>
    <mergeCell ref="A94:A124"/>
    <mergeCell ref="B102:B116"/>
    <mergeCell ref="B117:B120"/>
    <mergeCell ref="B121:B123"/>
  </mergeCells>
  <pageMargins left="0.76" right="0.17" top="0.69" bottom="0.39" header="0.5" footer="0.23"/>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R151"/>
  <sheetViews>
    <sheetView zoomScaleNormal="100" workbookViewId="0">
      <pane xSplit="3" ySplit="8" topLeftCell="D106" activePane="bottomRight" state="frozen"/>
      <selection pane="topRight" activeCell="D1" sqref="D1"/>
      <selection pane="bottomLeft" activeCell="A9" sqref="A9"/>
      <selection pane="bottomRight" activeCell="D112" sqref="D112"/>
    </sheetView>
  </sheetViews>
  <sheetFormatPr defaultRowHeight="12.75"/>
  <cols>
    <col min="1" max="1" width="6.28515625" style="94" customWidth="1"/>
    <col min="2" max="2" width="5.28515625" style="94" customWidth="1"/>
    <col min="3" max="3" width="44.5703125" style="94" customWidth="1"/>
    <col min="4" max="4" width="12.140625" style="94" customWidth="1"/>
    <col min="5" max="5" width="5.140625" style="94" customWidth="1"/>
    <col min="6" max="6" width="12.140625" style="94" bestFit="1" customWidth="1"/>
    <col min="7" max="7" width="7.5703125" style="94" customWidth="1"/>
    <col min="8" max="10" width="14.28515625" style="94" bestFit="1" customWidth="1"/>
    <col min="11" max="11" width="57.7109375" style="94" customWidth="1"/>
    <col min="12" max="12" width="42" style="94" customWidth="1"/>
    <col min="13" max="13" width="10.5703125" style="94" bestFit="1" customWidth="1"/>
    <col min="14" max="16384" width="9.140625" style="94"/>
  </cols>
  <sheetData>
    <row r="1" spans="1:13" ht="18">
      <c r="A1" s="190"/>
      <c r="B1" s="190"/>
      <c r="C1" s="190"/>
      <c r="D1" s="903" t="s">
        <v>299</v>
      </c>
      <c r="E1" s="938"/>
      <c r="F1" s="938"/>
      <c r="G1" s="938"/>
      <c r="H1" s="238"/>
      <c r="I1" s="238"/>
      <c r="J1" s="238"/>
      <c r="K1" s="238"/>
      <c r="L1" s="190"/>
      <c r="M1" s="190"/>
    </row>
    <row r="2" spans="1:13" ht="15" customHeight="1">
      <c r="A2" s="190"/>
      <c r="B2" s="190"/>
      <c r="C2" s="190"/>
      <c r="D2" s="939" t="s">
        <v>300</v>
      </c>
      <c r="E2" s="939"/>
      <c r="F2" s="939"/>
      <c r="G2" s="939"/>
      <c r="H2" s="239"/>
      <c r="I2" s="940" t="s">
        <v>493</v>
      </c>
      <c r="J2" s="940"/>
      <c r="K2" s="240"/>
      <c r="L2" s="190"/>
      <c r="M2" s="190"/>
    </row>
    <row r="3" spans="1:13" ht="35.25" customHeight="1">
      <c r="A3" s="161"/>
      <c r="B3" s="241"/>
      <c r="C3" s="860" t="s">
        <v>301</v>
      </c>
      <c r="D3" s="860"/>
      <c r="E3" s="860"/>
      <c r="F3" s="860"/>
      <c r="G3" s="860"/>
      <c r="H3" s="860"/>
      <c r="I3" s="238"/>
      <c r="J3" s="238"/>
      <c r="K3" s="238"/>
      <c r="L3" s="190"/>
      <c r="M3" s="190"/>
    </row>
    <row r="4" spans="1:13">
      <c r="A4" s="242"/>
      <c r="B4" s="242"/>
      <c r="C4" s="242"/>
      <c r="D4" s="242"/>
      <c r="E4" s="242"/>
      <c r="F4" s="242"/>
      <c r="G4" s="242"/>
      <c r="H4" s="242"/>
      <c r="I4" s="242"/>
      <c r="J4" s="242"/>
      <c r="K4" s="190"/>
      <c r="L4" s="190"/>
      <c r="M4" s="190"/>
    </row>
    <row r="5" spans="1:13">
      <c r="A5" s="941" t="s">
        <v>105</v>
      </c>
      <c r="B5" s="941" t="s">
        <v>82</v>
      </c>
      <c r="C5" s="942" t="s">
        <v>3</v>
      </c>
      <c r="D5" s="943" t="s">
        <v>4</v>
      </c>
      <c r="E5" s="941" t="s">
        <v>5</v>
      </c>
      <c r="F5" s="941" t="s">
        <v>10</v>
      </c>
      <c r="G5" s="941" t="s">
        <v>302</v>
      </c>
      <c r="H5" s="941" t="s">
        <v>303</v>
      </c>
      <c r="I5" s="941"/>
      <c r="J5" s="941"/>
      <c r="K5" s="243" t="s">
        <v>304</v>
      </c>
      <c r="L5" s="190"/>
      <c r="M5" s="190"/>
    </row>
    <row r="6" spans="1:13">
      <c r="A6" s="941"/>
      <c r="B6" s="941"/>
      <c r="C6" s="942"/>
      <c r="D6" s="944"/>
      <c r="E6" s="941"/>
      <c r="F6" s="941"/>
      <c r="G6" s="941"/>
      <c r="H6" s="244" t="s">
        <v>305</v>
      </c>
      <c r="I6" s="244" t="s">
        <v>306</v>
      </c>
      <c r="J6" s="244" t="s">
        <v>307</v>
      </c>
      <c r="K6" s="243"/>
      <c r="L6" s="190"/>
      <c r="M6" s="190"/>
    </row>
    <row r="7" spans="1:13">
      <c r="A7" s="245">
        <v>1</v>
      </c>
      <c r="B7" s="934">
        <v>2</v>
      </c>
      <c r="C7" s="935"/>
      <c r="D7" s="245">
        <v>3</v>
      </c>
      <c r="E7" s="245">
        <v>4</v>
      </c>
      <c r="F7" s="245">
        <v>5</v>
      </c>
      <c r="G7" s="245">
        <v>6</v>
      </c>
      <c r="H7" s="245">
        <v>7</v>
      </c>
      <c r="I7" s="245">
        <v>8</v>
      </c>
      <c r="J7" s="245">
        <v>9</v>
      </c>
      <c r="K7" s="246"/>
      <c r="L7" s="190"/>
      <c r="M7" s="190"/>
    </row>
    <row r="8" spans="1:13" ht="15" customHeight="1">
      <c r="A8" s="936">
        <v>1</v>
      </c>
      <c r="B8" s="247"/>
      <c r="C8" s="248" t="s">
        <v>145</v>
      </c>
      <c r="D8" s="249"/>
      <c r="E8" s="249"/>
      <c r="F8" s="249"/>
      <c r="G8" s="249"/>
      <c r="H8" s="249"/>
      <c r="I8" s="249"/>
      <c r="J8" s="250"/>
      <c r="K8" s="251"/>
      <c r="L8" s="190"/>
      <c r="M8" s="190"/>
    </row>
    <row r="9" spans="1:13" ht="15" customHeight="1">
      <c r="A9" s="926"/>
      <c r="B9" s="937" t="s">
        <v>221</v>
      </c>
      <c r="C9" s="252" t="s">
        <v>308</v>
      </c>
      <c r="D9" s="253"/>
      <c r="E9" s="254"/>
      <c r="F9" s="254"/>
      <c r="G9" s="254"/>
      <c r="H9" s="254"/>
      <c r="I9" s="254"/>
      <c r="J9" s="255"/>
      <c r="K9" s="256"/>
      <c r="L9" s="190"/>
      <c r="M9" s="190"/>
    </row>
    <row r="10" spans="1:13" ht="15" customHeight="1">
      <c r="A10" s="926"/>
      <c r="B10" s="937"/>
      <c r="C10" s="257" t="s">
        <v>309</v>
      </c>
      <c r="D10" s="258">
        <v>7132220091</v>
      </c>
      <c r="E10" s="259" t="s">
        <v>14</v>
      </c>
      <c r="F10" s="260">
        <v>1065077.6299999999</v>
      </c>
      <c r="G10" s="259">
        <v>1</v>
      </c>
      <c r="H10" s="260">
        <f>F10*G10</f>
        <v>1065077.6299999999</v>
      </c>
      <c r="I10" s="260"/>
      <c r="J10" s="260"/>
      <c r="K10" s="261"/>
      <c r="L10" s="190"/>
      <c r="M10" s="190"/>
    </row>
    <row r="11" spans="1:13" ht="15" customHeight="1">
      <c r="A11" s="926"/>
      <c r="B11" s="937"/>
      <c r="C11" s="257" t="s">
        <v>310</v>
      </c>
      <c r="D11" s="258">
        <v>7132220095</v>
      </c>
      <c r="E11" s="259" t="s">
        <v>14</v>
      </c>
      <c r="F11" s="260">
        <v>3163634.22</v>
      </c>
      <c r="G11" s="259">
        <v>1</v>
      </c>
      <c r="H11" s="260"/>
      <c r="I11" s="260">
        <f>F11*G11</f>
        <v>3163634.22</v>
      </c>
      <c r="J11" s="260"/>
      <c r="K11" s="261"/>
      <c r="L11" s="190"/>
      <c r="M11" s="190"/>
    </row>
    <row r="12" spans="1:13" ht="15" customHeight="1">
      <c r="A12" s="926"/>
      <c r="B12" s="937"/>
      <c r="C12" s="257" t="s">
        <v>311</v>
      </c>
      <c r="D12" s="258">
        <v>7132220097</v>
      </c>
      <c r="E12" s="259" t="s">
        <v>14</v>
      </c>
      <c r="F12" s="260">
        <v>4283437.71</v>
      </c>
      <c r="G12" s="259">
        <v>1</v>
      </c>
      <c r="H12" s="260"/>
      <c r="I12" s="260"/>
      <c r="J12" s="260">
        <f>F12*G12</f>
        <v>4283437.71</v>
      </c>
      <c r="K12" s="261"/>
      <c r="L12" s="190"/>
      <c r="M12" s="190"/>
    </row>
    <row r="13" spans="1:13" ht="15" customHeight="1">
      <c r="A13" s="926"/>
      <c r="B13" s="937" t="s">
        <v>114</v>
      </c>
      <c r="C13" s="262" t="s">
        <v>312</v>
      </c>
      <c r="D13" s="258"/>
      <c r="E13" s="259" t="s">
        <v>14</v>
      </c>
      <c r="F13" s="263">
        <f>I14+I15+I16</f>
        <v>412251.88</v>
      </c>
      <c r="G13" s="259"/>
      <c r="H13" s="260"/>
      <c r="I13" s="260"/>
      <c r="J13" s="260"/>
      <c r="K13" s="261"/>
      <c r="L13" s="190"/>
      <c r="M13" s="190"/>
    </row>
    <row r="14" spans="1:13" ht="15" customHeight="1">
      <c r="A14" s="926"/>
      <c r="B14" s="937"/>
      <c r="C14" s="264" t="s">
        <v>313</v>
      </c>
      <c r="D14" s="258">
        <v>7131943380</v>
      </c>
      <c r="E14" s="259" t="s">
        <v>14</v>
      </c>
      <c r="F14" s="260">
        <v>303153.58</v>
      </c>
      <c r="G14" s="259">
        <v>1</v>
      </c>
      <c r="H14" s="260"/>
      <c r="I14" s="260">
        <f>+F14</f>
        <v>303153.58</v>
      </c>
      <c r="J14" s="260">
        <f>+I14</f>
        <v>303153.58</v>
      </c>
      <c r="K14" s="265"/>
    </row>
    <row r="15" spans="1:13" ht="15" customHeight="1">
      <c r="A15" s="926"/>
      <c r="B15" s="937"/>
      <c r="C15" s="264" t="s">
        <v>314</v>
      </c>
      <c r="D15" s="258">
        <v>7131960524</v>
      </c>
      <c r="E15" s="259" t="s">
        <v>14</v>
      </c>
      <c r="F15" s="260">
        <v>39001.74</v>
      </c>
      <c r="G15" s="259">
        <v>1</v>
      </c>
      <c r="H15" s="260"/>
      <c r="I15" s="260">
        <f>+F15</f>
        <v>39001.74</v>
      </c>
      <c r="J15" s="260">
        <f>+I15</f>
        <v>39001.74</v>
      </c>
      <c r="K15" s="265"/>
      <c r="L15" s="182"/>
    </row>
    <row r="16" spans="1:13" ht="15" customHeight="1">
      <c r="A16" s="926"/>
      <c r="B16" s="937"/>
      <c r="C16" s="264" t="s">
        <v>153</v>
      </c>
      <c r="D16" s="258">
        <v>7132230265</v>
      </c>
      <c r="E16" s="259" t="s">
        <v>14</v>
      </c>
      <c r="F16" s="260">
        <v>23365.52</v>
      </c>
      <c r="G16" s="259">
        <v>3</v>
      </c>
      <c r="H16" s="260"/>
      <c r="I16" s="260">
        <f>G16*F16</f>
        <v>70096.56</v>
      </c>
      <c r="J16" s="260">
        <f>+I16</f>
        <v>70096.56</v>
      </c>
      <c r="K16" s="265"/>
    </row>
    <row r="17" spans="1:18" ht="15" customHeight="1">
      <c r="A17" s="926"/>
      <c r="B17" s="937" t="s">
        <v>116</v>
      </c>
      <c r="C17" s="266" t="s">
        <v>315</v>
      </c>
      <c r="D17" s="258"/>
      <c r="E17" s="259" t="s">
        <v>14</v>
      </c>
      <c r="F17" s="263">
        <f>H18+H19+H20</f>
        <v>231555.28</v>
      </c>
      <c r="G17" s="259">
        <v>1</v>
      </c>
      <c r="H17" s="260"/>
      <c r="I17" s="260"/>
      <c r="J17" s="260"/>
      <c r="K17" s="265"/>
    </row>
    <row r="18" spans="1:18" ht="15" customHeight="1">
      <c r="A18" s="926"/>
      <c r="B18" s="937"/>
      <c r="C18" s="264" t="s">
        <v>316</v>
      </c>
      <c r="D18" s="258">
        <v>7131941762</v>
      </c>
      <c r="E18" s="259" t="s">
        <v>125</v>
      </c>
      <c r="F18" s="260">
        <v>149663.06</v>
      </c>
      <c r="G18" s="259">
        <v>1</v>
      </c>
      <c r="H18" s="260">
        <f>G18*F18</f>
        <v>149663.06</v>
      </c>
      <c r="I18" s="260">
        <f t="shared" ref="I18:J20" si="0">+H18</f>
        <v>149663.06</v>
      </c>
      <c r="J18" s="260">
        <f t="shared" si="0"/>
        <v>149663.06</v>
      </c>
      <c r="K18" s="265"/>
    </row>
    <row r="19" spans="1:18" ht="15" customHeight="1">
      <c r="A19" s="926"/>
      <c r="B19" s="937"/>
      <c r="C19" s="264" t="s">
        <v>317</v>
      </c>
      <c r="D19" s="258">
        <v>7131960522</v>
      </c>
      <c r="E19" s="259" t="s">
        <v>125</v>
      </c>
      <c r="F19" s="260">
        <v>38434.25</v>
      </c>
      <c r="G19" s="259">
        <v>1</v>
      </c>
      <c r="H19" s="260">
        <f>G19*F19</f>
        <v>38434.25</v>
      </c>
      <c r="I19" s="260">
        <f t="shared" si="0"/>
        <v>38434.25</v>
      </c>
      <c r="J19" s="260">
        <f t="shared" si="0"/>
        <v>38434.25</v>
      </c>
      <c r="K19" s="265"/>
      <c r="L19" s="267"/>
    </row>
    <row r="20" spans="1:18" ht="15" customHeight="1">
      <c r="A20" s="926"/>
      <c r="B20" s="937"/>
      <c r="C20" s="264" t="s">
        <v>318</v>
      </c>
      <c r="D20" s="258">
        <v>7132230188</v>
      </c>
      <c r="E20" s="259" t="s">
        <v>125</v>
      </c>
      <c r="F20" s="260">
        <v>14485.99</v>
      </c>
      <c r="G20" s="259">
        <v>3</v>
      </c>
      <c r="H20" s="260">
        <f>G20*F20</f>
        <v>43457.97</v>
      </c>
      <c r="I20" s="260">
        <f t="shared" si="0"/>
        <v>43457.97</v>
      </c>
      <c r="J20" s="260">
        <f t="shared" si="0"/>
        <v>43457.97</v>
      </c>
      <c r="K20" s="265"/>
    </row>
    <row r="21" spans="1:18" ht="15" customHeight="1">
      <c r="A21" s="926"/>
      <c r="B21" s="937" t="s">
        <v>158</v>
      </c>
      <c r="C21" s="266" t="s">
        <v>319</v>
      </c>
      <c r="D21" s="258"/>
      <c r="E21" s="259" t="s">
        <v>14</v>
      </c>
      <c r="F21" s="263">
        <f>H22+H23+H24</f>
        <v>437239</v>
      </c>
      <c r="G21" s="259">
        <v>1</v>
      </c>
      <c r="H21" s="260"/>
      <c r="I21" s="260"/>
      <c r="J21" s="260"/>
      <c r="K21" s="265"/>
    </row>
    <row r="22" spans="1:18" ht="15" customHeight="1">
      <c r="A22" s="926"/>
      <c r="B22" s="937"/>
      <c r="C22" s="264" t="s">
        <v>316</v>
      </c>
      <c r="D22" s="258">
        <v>7131941762</v>
      </c>
      <c r="E22" s="259" t="s">
        <v>14</v>
      </c>
      <c r="F22" s="260">
        <v>149663.06</v>
      </c>
      <c r="G22" s="259">
        <v>2</v>
      </c>
      <c r="H22" s="260">
        <f t="shared" ref="H22:H29" si="1">G22*F22</f>
        <v>299326.12</v>
      </c>
      <c r="I22" s="260">
        <f>G22*F22</f>
        <v>299326.12</v>
      </c>
      <c r="J22" s="260">
        <f>G22*F22</f>
        <v>299326.12</v>
      </c>
      <c r="K22" s="268"/>
      <c r="L22" s="269"/>
    </row>
    <row r="23" spans="1:18" ht="15" customHeight="1">
      <c r="A23" s="926"/>
      <c r="B23" s="937"/>
      <c r="C23" s="264" t="s">
        <v>320</v>
      </c>
      <c r="D23" s="258">
        <v>7131960008</v>
      </c>
      <c r="E23" s="259" t="s">
        <v>125</v>
      </c>
      <c r="F23" s="260">
        <v>25498.47</v>
      </c>
      <c r="G23" s="259">
        <v>2</v>
      </c>
      <c r="H23" s="260">
        <f t="shared" si="1"/>
        <v>50996.94</v>
      </c>
      <c r="I23" s="260">
        <f>G23*F23</f>
        <v>50996.94</v>
      </c>
      <c r="J23" s="260">
        <f>G23*F23</f>
        <v>50996.94</v>
      </c>
      <c r="K23" s="268"/>
      <c r="L23" s="267"/>
    </row>
    <row r="24" spans="1:18" ht="15" customHeight="1">
      <c r="A24" s="926"/>
      <c r="B24" s="937"/>
      <c r="C24" s="257" t="s">
        <v>321</v>
      </c>
      <c r="D24" s="258">
        <v>7132230185</v>
      </c>
      <c r="E24" s="259" t="s">
        <v>14</v>
      </c>
      <c r="F24" s="260">
        <v>14485.99</v>
      </c>
      <c r="G24" s="259">
        <v>6</v>
      </c>
      <c r="H24" s="260">
        <f t="shared" si="1"/>
        <v>86915.94</v>
      </c>
      <c r="I24" s="260">
        <f>F24*G24</f>
        <v>86915.94</v>
      </c>
      <c r="J24" s="260">
        <f>F24*G24</f>
        <v>86915.94</v>
      </c>
      <c r="K24" s="268"/>
    </row>
    <row r="25" spans="1:18" ht="15" customHeight="1">
      <c r="A25" s="926"/>
      <c r="B25" s="270" t="s">
        <v>123</v>
      </c>
      <c r="C25" s="264" t="s">
        <v>322</v>
      </c>
      <c r="D25" s="258">
        <v>7131930415</v>
      </c>
      <c r="E25" s="259" t="s">
        <v>125</v>
      </c>
      <c r="F25" s="260">
        <v>2729.94</v>
      </c>
      <c r="G25" s="259">
        <v>3</v>
      </c>
      <c r="H25" s="260">
        <f t="shared" si="1"/>
        <v>8189.82</v>
      </c>
      <c r="I25" s="260"/>
      <c r="J25" s="260"/>
      <c r="K25" s="265"/>
    </row>
    <row r="26" spans="1:18" ht="15" customHeight="1">
      <c r="A26" s="926"/>
      <c r="B26" s="270" t="s">
        <v>126</v>
      </c>
      <c r="C26" s="264" t="s">
        <v>323</v>
      </c>
      <c r="D26" s="258">
        <v>7131930752</v>
      </c>
      <c r="E26" s="259" t="s">
        <v>14</v>
      </c>
      <c r="F26" s="260">
        <v>43236.47</v>
      </c>
      <c r="G26" s="259">
        <v>3</v>
      </c>
      <c r="H26" s="260">
        <f t="shared" si="1"/>
        <v>129709.41</v>
      </c>
      <c r="I26" s="260">
        <f>G26*F26</f>
        <v>129709.41</v>
      </c>
      <c r="J26" s="260">
        <f>G26*F26</f>
        <v>129709.41</v>
      </c>
      <c r="K26" s="268"/>
    </row>
    <row r="27" spans="1:18" ht="15" customHeight="1">
      <c r="A27" s="926"/>
      <c r="B27" s="270" t="s">
        <v>129</v>
      </c>
      <c r="C27" s="264" t="s">
        <v>324</v>
      </c>
      <c r="D27" s="258">
        <v>7131930663</v>
      </c>
      <c r="E27" s="259" t="s">
        <v>14</v>
      </c>
      <c r="F27" s="260">
        <v>24983.38</v>
      </c>
      <c r="G27" s="259">
        <v>5</v>
      </c>
      <c r="H27" s="260">
        <f t="shared" si="1"/>
        <v>124916.90000000001</v>
      </c>
      <c r="I27" s="260">
        <f>G27*F27</f>
        <v>124916.90000000001</v>
      </c>
      <c r="J27" s="260">
        <f>G27*F27</f>
        <v>124916.90000000001</v>
      </c>
      <c r="K27" s="265"/>
    </row>
    <row r="28" spans="1:18" ht="15" customHeight="1">
      <c r="A28" s="926"/>
      <c r="B28" s="270" t="s">
        <v>166</v>
      </c>
      <c r="C28" s="264" t="s">
        <v>325</v>
      </c>
      <c r="D28" s="258">
        <v>7130840021</v>
      </c>
      <c r="E28" s="259" t="s">
        <v>125</v>
      </c>
      <c r="F28" s="260">
        <v>3233.2</v>
      </c>
      <c r="G28" s="259">
        <v>3</v>
      </c>
      <c r="H28" s="260">
        <f t="shared" si="1"/>
        <v>9699.5999999999985</v>
      </c>
      <c r="I28" s="260">
        <f>G28*F28</f>
        <v>9699.5999999999985</v>
      </c>
      <c r="J28" s="260">
        <f>G28*F28</f>
        <v>9699.5999999999985</v>
      </c>
      <c r="K28" s="265"/>
    </row>
    <row r="29" spans="1:18" ht="15" customHeight="1">
      <c r="A29" s="926"/>
      <c r="B29" s="270" t="s">
        <v>134</v>
      </c>
      <c r="C29" s="264" t="s">
        <v>326</v>
      </c>
      <c r="D29" s="258">
        <v>7130840029</v>
      </c>
      <c r="E29" s="259" t="s">
        <v>125</v>
      </c>
      <c r="F29" s="260">
        <v>348.68</v>
      </c>
      <c r="G29" s="259">
        <v>9</v>
      </c>
      <c r="H29" s="260">
        <f t="shared" si="1"/>
        <v>3138.12</v>
      </c>
      <c r="I29" s="260">
        <f>G29*F29</f>
        <v>3138.12</v>
      </c>
      <c r="J29" s="260">
        <f>G29*F29</f>
        <v>3138.12</v>
      </c>
      <c r="K29" s="265"/>
    </row>
    <row r="30" spans="1:18" ht="15" customHeight="1">
      <c r="A30" s="926"/>
      <c r="B30" s="270" t="s">
        <v>137</v>
      </c>
      <c r="C30" s="271" t="s">
        <v>327</v>
      </c>
      <c r="D30" s="258"/>
      <c r="E30" s="259" t="s">
        <v>14</v>
      </c>
      <c r="F30" s="263">
        <f>+H31</f>
        <v>12235.68</v>
      </c>
      <c r="G30" s="259"/>
      <c r="H30" s="260"/>
      <c r="I30" s="260"/>
      <c r="J30" s="260"/>
      <c r="K30" s="265"/>
      <c r="M30" s="272"/>
      <c r="N30" s="272"/>
      <c r="O30" s="272"/>
      <c r="P30" s="272"/>
      <c r="Q30" s="272"/>
      <c r="R30" s="161"/>
    </row>
    <row r="31" spans="1:18" ht="27" customHeight="1">
      <c r="A31" s="926"/>
      <c r="B31" s="273"/>
      <c r="C31" s="274" t="s">
        <v>186</v>
      </c>
      <c r="D31" s="275">
        <v>7131310033</v>
      </c>
      <c r="E31" s="259" t="s">
        <v>14</v>
      </c>
      <c r="F31" s="260">
        <v>4078.56</v>
      </c>
      <c r="G31" s="259">
        <v>3</v>
      </c>
      <c r="H31" s="260">
        <f t="shared" ref="H31:H38" si="2">G31*F31</f>
        <v>12235.68</v>
      </c>
      <c r="I31" s="260">
        <f t="shared" ref="I31:I38" si="3">G31*F31</f>
        <v>12235.68</v>
      </c>
      <c r="J31" s="260">
        <f t="shared" ref="J31:J38" si="4">G31*F31</f>
        <v>12235.68</v>
      </c>
      <c r="K31" s="192"/>
    </row>
    <row r="32" spans="1:18" ht="15" customHeight="1">
      <c r="A32" s="926"/>
      <c r="B32" s="276" t="s">
        <v>141</v>
      </c>
      <c r="C32" s="264" t="s">
        <v>328</v>
      </c>
      <c r="D32" s="258">
        <v>7132230057</v>
      </c>
      <c r="E32" s="259" t="s">
        <v>125</v>
      </c>
      <c r="F32" s="260">
        <v>19641.7</v>
      </c>
      <c r="G32" s="259">
        <v>3</v>
      </c>
      <c r="H32" s="260">
        <f t="shared" si="2"/>
        <v>58925.100000000006</v>
      </c>
      <c r="I32" s="260">
        <f t="shared" si="3"/>
        <v>58925.100000000006</v>
      </c>
      <c r="J32" s="260">
        <f t="shared" si="4"/>
        <v>58925.100000000006</v>
      </c>
      <c r="K32" s="265"/>
    </row>
    <row r="33" spans="1:13" ht="15" customHeight="1">
      <c r="A33" s="926"/>
      <c r="B33" s="270" t="s">
        <v>143</v>
      </c>
      <c r="C33" s="264" t="s">
        <v>329</v>
      </c>
      <c r="D33" s="258">
        <v>7132230056</v>
      </c>
      <c r="E33" s="259" t="s">
        <v>125</v>
      </c>
      <c r="F33" s="260">
        <v>12242.87</v>
      </c>
      <c r="G33" s="259">
        <v>3</v>
      </c>
      <c r="H33" s="260">
        <f t="shared" si="2"/>
        <v>36728.61</v>
      </c>
      <c r="I33" s="260">
        <f t="shared" si="3"/>
        <v>36728.61</v>
      </c>
      <c r="J33" s="260">
        <f t="shared" si="4"/>
        <v>36728.61</v>
      </c>
      <c r="K33" s="277"/>
    </row>
    <row r="34" spans="1:13" ht="15" customHeight="1">
      <c r="A34" s="926"/>
      <c r="B34" s="276" t="s">
        <v>172</v>
      </c>
      <c r="C34" s="278" t="s">
        <v>175</v>
      </c>
      <c r="D34" s="258">
        <v>7132230427</v>
      </c>
      <c r="E34" s="259" t="s">
        <v>125</v>
      </c>
      <c r="F34" s="260">
        <v>83656.009999999995</v>
      </c>
      <c r="G34" s="259">
        <v>1</v>
      </c>
      <c r="H34" s="260">
        <f t="shared" si="2"/>
        <v>83656.009999999995</v>
      </c>
      <c r="I34" s="260">
        <f t="shared" si="3"/>
        <v>83656.009999999995</v>
      </c>
      <c r="J34" s="260">
        <f t="shared" si="4"/>
        <v>83656.009999999995</v>
      </c>
      <c r="K34" s="265"/>
      <c r="M34" s="279"/>
    </row>
    <row r="35" spans="1:13" ht="15" customHeight="1">
      <c r="A35" s="926"/>
      <c r="B35" s="276" t="s">
        <v>174</v>
      </c>
      <c r="C35" s="278" t="s">
        <v>177</v>
      </c>
      <c r="D35" s="280">
        <v>7132230412</v>
      </c>
      <c r="E35" s="259" t="s">
        <v>125</v>
      </c>
      <c r="F35" s="260">
        <v>41332.300000000003</v>
      </c>
      <c r="G35" s="259">
        <v>2</v>
      </c>
      <c r="H35" s="260">
        <f t="shared" si="2"/>
        <v>82664.600000000006</v>
      </c>
      <c r="I35" s="260">
        <f t="shared" si="3"/>
        <v>82664.600000000006</v>
      </c>
      <c r="J35" s="260">
        <f t="shared" si="4"/>
        <v>82664.600000000006</v>
      </c>
      <c r="K35" s="265"/>
      <c r="M35" s="279"/>
    </row>
    <row r="36" spans="1:13" ht="15" customHeight="1">
      <c r="A36" s="926"/>
      <c r="B36" s="270" t="s">
        <v>176</v>
      </c>
      <c r="C36" s="264" t="s">
        <v>330</v>
      </c>
      <c r="D36" s="258">
        <v>7131930321</v>
      </c>
      <c r="E36" s="259" t="s">
        <v>125</v>
      </c>
      <c r="F36" s="260">
        <v>22715.4</v>
      </c>
      <c r="G36" s="259">
        <v>0</v>
      </c>
      <c r="H36" s="260">
        <f t="shared" si="2"/>
        <v>0</v>
      </c>
      <c r="I36" s="260">
        <f t="shared" si="3"/>
        <v>0</v>
      </c>
      <c r="J36" s="260">
        <f t="shared" si="4"/>
        <v>0</v>
      </c>
      <c r="K36" s="268"/>
    </row>
    <row r="37" spans="1:13" ht="15" customHeight="1">
      <c r="A37" s="926"/>
      <c r="B37" s="270" t="s">
        <v>178</v>
      </c>
      <c r="C37" s="264" t="s">
        <v>331</v>
      </c>
      <c r="D37" s="258">
        <v>7131930221</v>
      </c>
      <c r="E37" s="259" t="s">
        <v>125</v>
      </c>
      <c r="F37" s="260">
        <v>10230.879999999999</v>
      </c>
      <c r="G37" s="259">
        <v>2</v>
      </c>
      <c r="H37" s="260">
        <f t="shared" si="2"/>
        <v>20461.759999999998</v>
      </c>
      <c r="I37" s="260">
        <f t="shared" si="3"/>
        <v>20461.759999999998</v>
      </c>
      <c r="J37" s="260">
        <f t="shared" si="4"/>
        <v>20461.759999999998</v>
      </c>
      <c r="K37" s="277"/>
    </row>
    <row r="38" spans="1:13" ht="15" customHeight="1">
      <c r="A38" s="927"/>
      <c r="B38" s="270" t="s">
        <v>180</v>
      </c>
      <c r="C38" s="281" t="s">
        <v>217</v>
      </c>
      <c r="D38" s="258">
        <v>7130352046</v>
      </c>
      <c r="E38" s="151" t="s">
        <v>136</v>
      </c>
      <c r="F38" s="260">
        <v>3724.89</v>
      </c>
      <c r="G38" s="259">
        <v>5</v>
      </c>
      <c r="H38" s="260">
        <f t="shared" si="2"/>
        <v>18624.45</v>
      </c>
      <c r="I38" s="260">
        <f t="shared" si="3"/>
        <v>18624.45</v>
      </c>
      <c r="J38" s="260">
        <f t="shared" si="4"/>
        <v>18624.45</v>
      </c>
      <c r="K38" s="277"/>
      <c r="L38" s="48"/>
    </row>
    <row r="39" spans="1:13" ht="15" customHeight="1">
      <c r="A39" s="916">
        <v>2</v>
      </c>
      <c r="B39" s="247"/>
      <c r="C39" s="282" t="s">
        <v>332</v>
      </c>
      <c r="D39" s="253"/>
      <c r="E39" s="254"/>
      <c r="F39" s="254"/>
      <c r="G39" s="254"/>
      <c r="H39" s="254"/>
      <c r="I39" s="254"/>
      <c r="J39" s="255"/>
      <c r="K39" s="256"/>
    </row>
    <row r="40" spans="1:13" ht="51.75" customHeight="1">
      <c r="A40" s="917"/>
      <c r="B40" s="283" t="s">
        <v>274</v>
      </c>
      <c r="C40" s="284" t="s">
        <v>333</v>
      </c>
      <c r="D40" s="285">
        <v>7130601958</v>
      </c>
      <c r="E40" s="285" t="s">
        <v>17</v>
      </c>
      <c r="F40" s="260">
        <v>62.81</v>
      </c>
      <c r="G40" s="260">
        <v>1038.8</v>
      </c>
      <c r="H40" s="286">
        <f>G40*F40</f>
        <v>65247.027999999998</v>
      </c>
      <c r="I40" s="260">
        <f>G40*F40</f>
        <v>65247.027999999998</v>
      </c>
      <c r="J40" s="260">
        <f>G40*F40</f>
        <v>65247.027999999998</v>
      </c>
      <c r="K40" s="287"/>
      <c r="L40" s="288"/>
    </row>
    <row r="41" spans="1:13" ht="27.75" customHeight="1">
      <c r="A41" s="917"/>
      <c r="B41" s="919" t="s">
        <v>276</v>
      </c>
      <c r="C41" s="289" t="s">
        <v>334</v>
      </c>
      <c r="D41" s="290"/>
      <c r="E41" s="291" t="s">
        <v>54</v>
      </c>
      <c r="F41" s="292">
        <f>H42+H43</f>
        <v>158698.83199999999</v>
      </c>
      <c r="G41" s="291">
        <v>1</v>
      </c>
      <c r="H41" s="286"/>
      <c r="I41" s="260"/>
      <c r="J41" s="260"/>
      <c r="K41" s="287"/>
      <c r="L41" s="161"/>
    </row>
    <row r="42" spans="1:13" ht="27.75" customHeight="1">
      <c r="A42" s="917"/>
      <c r="B42" s="920"/>
      <c r="C42" s="293" t="s">
        <v>335</v>
      </c>
      <c r="D42" s="285">
        <v>7130601958</v>
      </c>
      <c r="E42" s="291" t="s">
        <v>17</v>
      </c>
      <c r="F42" s="260">
        <v>62.81</v>
      </c>
      <c r="G42" s="294">
        <v>1187.2</v>
      </c>
      <c r="H42" s="286">
        <f>G42*F42</f>
        <v>74568.032000000007</v>
      </c>
      <c r="I42" s="260">
        <f>G42*F42</f>
        <v>74568.032000000007</v>
      </c>
      <c r="J42" s="260">
        <f>G42*F42</f>
        <v>74568.032000000007</v>
      </c>
      <c r="K42" s="287"/>
      <c r="L42" s="161"/>
    </row>
    <row r="43" spans="1:13" ht="15.75" customHeight="1">
      <c r="A43" s="917"/>
      <c r="B43" s="921"/>
      <c r="C43" s="284" t="s">
        <v>336</v>
      </c>
      <c r="D43" s="285">
        <v>7130810684</v>
      </c>
      <c r="E43" s="291" t="s">
        <v>14</v>
      </c>
      <c r="F43" s="260">
        <v>10516.35</v>
      </c>
      <c r="G43" s="291">
        <v>8</v>
      </c>
      <c r="H43" s="286">
        <f>G43*F43</f>
        <v>84130.8</v>
      </c>
      <c r="I43" s="260">
        <f>G43*F43</f>
        <v>84130.8</v>
      </c>
      <c r="J43" s="260">
        <f>G43*F43</f>
        <v>84130.8</v>
      </c>
      <c r="K43" s="287"/>
      <c r="L43" s="161"/>
    </row>
    <row r="44" spans="1:13" ht="40.5" customHeight="1">
      <c r="A44" s="917"/>
      <c r="B44" s="919" t="s">
        <v>278</v>
      </c>
      <c r="C44" s="289" t="s">
        <v>337</v>
      </c>
      <c r="D44" s="285"/>
      <c r="E44" s="291" t="s">
        <v>54</v>
      </c>
      <c r="F44" s="292">
        <f>SUM(H45:H50)</f>
        <v>503519.696</v>
      </c>
      <c r="G44" s="291">
        <v>1</v>
      </c>
      <c r="H44" s="286"/>
      <c r="I44" s="260"/>
      <c r="J44" s="260"/>
      <c r="K44" s="287"/>
      <c r="L44" s="295"/>
      <c r="M44" s="295"/>
    </row>
    <row r="45" spans="1:13" ht="25.5">
      <c r="A45" s="917"/>
      <c r="B45" s="920"/>
      <c r="C45" s="284" t="s">
        <v>338</v>
      </c>
      <c r="D45" s="285">
        <v>7130601958</v>
      </c>
      <c r="E45" s="291" t="s">
        <v>17</v>
      </c>
      <c r="F45" s="260">
        <v>62.81</v>
      </c>
      <c r="G45" s="294">
        <v>1187.2</v>
      </c>
      <c r="H45" s="286">
        <f t="shared" ref="H45:H54" si="5">G45*F45</f>
        <v>74568.032000000007</v>
      </c>
      <c r="I45" s="260">
        <f t="shared" ref="I45:I54" si="6">G45*F45</f>
        <v>74568.032000000007</v>
      </c>
      <c r="J45" s="260">
        <f t="shared" ref="J45:J54" si="7">G45*F45</f>
        <v>74568.032000000007</v>
      </c>
      <c r="K45" s="287"/>
      <c r="L45" s="295"/>
      <c r="M45" s="295"/>
    </row>
    <row r="46" spans="1:13" ht="25.5">
      <c r="A46" s="917"/>
      <c r="B46" s="920"/>
      <c r="C46" s="293" t="s">
        <v>339</v>
      </c>
      <c r="D46" s="285">
        <v>7130601958</v>
      </c>
      <c r="E46" s="291" t="s">
        <v>17</v>
      </c>
      <c r="F46" s="260">
        <v>62.81</v>
      </c>
      <c r="G46" s="294">
        <v>1632.4</v>
      </c>
      <c r="H46" s="286">
        <f t="shared" si="5"/>
        <v>102531.04400000001</v>
      </c>
      <c r="I46" s="260">
        <f t="shared" si="6"/>
        <v>102531.04400000001</v>
      </c>
      <c r="J46" s="260">
        <f t="shared" si="7"/>
        <v>102531.04400000001</v>
      </c>
      <c r="K46" s="287"/>
      <c r="L46" s="161"/>
      <c r="M46" s="161"/>
    </row>
    <row r="47" spans="1:13" ht="15" customHeight="1">
      <c r="A47" s="917"/>
      <c r="B47" s="920"/>
      <c r="C47" s="296" t="s">
        <v>340</v>
      </c>
      <c r="D47" s="297">
        <v>7130600675</v>
      </c>
      <c r="E47" s="291" t="s">
        <v>17</v>
      </c>
      <c r="F47" s="260">
        <v>67.13</v>
      </c>
      <c r="G47" s="298">
        <v>273</v>
      </c>
      <c r="H47" s="286">
        <f t="shared" si="5"/>
        <v>18326.489999999998</v>
      </c>
      <c r="I47" s="260">
        <f t="shared" si="6"/>
        <v>18326.489999999998</v>
      </c>
      <c r="J47" s="260">
        <f t="shared" si="7"/>
        <v>18326.489999999998</v>
      </c>
      <c r="K47" s="205"/>
      <c r="L47" s="299"/>
      <c r="M47" s="161"/>
    </row>
    <row r="48" spans="1:13" ht="15" customHeight="1">
      <c r="A48" s="917"/>
      <c r="B48" s="920"/>
      <c r="C48" s="284" t="s">
        <v>341</v>
      </c>
      <c r="D48" s="285">
        <v>7130810684</v>
      </c>
      <c r="E48" s="291" t="s">
        <v>14</v>
      </c>
      <c r="F48" s="260">
        <v>10516.35</v>
      </c>
      <c r="G48" s="291">
        <v>24</v>
      </c>
      <c r="H48" s="286">
        <f t="shared" si="5"/>
        <v>252392.40000000002</v>
      </c>
      <c r="I48" s="260">
        <f t="shared" si="6"/>
        <v>252392.40000000002</v>
      </c>
      <c r="J48" s="260">
        <f t="shared" si="7"/>
        <v>252392.40000000002</v>
      </c>
      <c r="K48" s="268"/>
      <c r="L48" s="295"/>
      <c r="M48" s="295"/>
    </row>
    <row r="49" spans="1:13" ht="15" customHeight="1">
      <c r="A49" s="917"/>
      <c r="B49" s="920"/>
      <c r="C49" s="300" t="s">
        <v>342</v>
      </c>
      <c r="D49" s="301">
        <v>7130810608</v>
      </c>
      <c r="E49" s="291" t="s">
        <v>54</v>
      </c>
      <c r="F49" s="260">
        <v>8465.81</v>
      </c>
      <c r="G49" s="291">
        <v>5</v>
      </c>
      <c r="H49" s="286">
        <f t="shared" si="5"/>
        <v>42329.049999999996</v>
      </c>
      <c r="I49" s="260">
        <f t="shared" si="6"/>
        <v>42329.049999999996</v>
      </c>
      <c r="J49" s="260">
        <f t="shared" si="7"/>
        <v>42329.049999999996</v>
      </c>
      <c r="K49" s="302"/>
      <c r="L49" s="161"/>
      <c r="M49" s="303"/>
    </row>
    <row r="50" spans="1:13" ht="15" customHeight="1">
      <c r="A50" s="917"/>
      <c r="B50" s="921"/>
      <c r="C50" s="284" t="s">
        <v>343</v>
      </c>
      <c r="D50" s="301">
        <v>7130810517</v>
      </c>
      <c r="E50" s="291" t="s">
        <v>54</v>
      </c>
      <c r="F50" s="260">
        <v>6686.34</v>
      </c>
      <c r="G50" s="291">
        <v>2</v>
      </c>
      <c r="H50" s="286">
        <f t="shared" si="5"/>
        <v>13372.68</v>
      </c>
      <c r="I50" s="260">
        <f t="shared" si="6"/>
        <v>13372.68</v>
      </c>
      <c r="J50" s="260">
        <f t="shared" si="7"/>
        <v>13372.68</v>
      </c>
      <c r="K50" s="304"/>
      <c r="L50" s="161"/>
      <c r="M50" s="303"/>
    </row>
    <row r="51" spans="1:13" ht="15.75" customHeight="1">
      <c r="A51" s="917"/>
      <c r="B51" s="305" t="s">
        <v>280</v>
      </c>
      <c r="C51" s="306" t="s">
        <v>215</v>
      </c>
      <c r="D51" s="301">
        <v>7130601072</v>
      </c>
      <c r="E51" s="307" t="s">
        <v>17</v>
      </c>
      <c r="F51" s="260">
        <v>83.25</v>
      </c>
      <c r="G51" s="291">
        <v>300</v>
      </c>
      <c r="H51" s="286">
        <f t="shared" si="5"/>
        <v>24975</v>
      </c>
      <c r="I51" s="260">
        <f t="shared" si="6"/>
        <v>24975</v>
      </c>
      <c r="J51" s="260">
        <f t="shared" si="7"/>
        <v>24975</v>
      </c>
      <c r="K51" s="287"/>
      <c r="L51" s="161"/>
      <c r="M51" s="161"/>
    </row>
    <row r="52" spans="1:13" ht="15.75" customHeight="1">
      <c r="A52" s="917"/>
      <c r="B52" s="276" t="s">
        <v>344</v>
      </c>
      <c r="C52" s="284" t="s">
        <v>345</v>
      </c>
      <c r="D52" s="285">
        <v>7130830063</v>
      </c>
      <c r="E52" s="259" t="s">
        <v>29</v>
      </c>
      <c r="F52" s="260">
        <v>95.46</v>
      </c>
      <c r="G52" s="259">
        <v>300</v>
      </c>
      <c r="H52" s="286">
        <f t="shared" si="5"/>
        <v>28637.999999999996</v>
      </c>
      <c r="I52" s="260">
        <f t="shared" si="6"/>
        <v>28637.999999999996</v>
      </c>
      <c r="J52" s="260">
        <f t="shared" si="7"/>
        <v>28637.999999999996</v>
      </c>
      <c r="K52" s="287"/>
      <c r="L52" s="161"/>
      <c r="M52" s="161"/>
    </row>
    <row r="53" spans="1:13" ht="15" customHeight="1">
      <c r="A53" s="917"/>
      <c r="B53" s="276" t="s">
        <v>346</v>
      </c>
      <c r="C53" s="284" t="s">
        <v>347</v>
      </c>
      <c r="D53" s="285">
        <v>7130820009</v>
      </c>
      <c r="E53" s="259" t="s">
        <v>125</v>
      </c>
      <c r="F53" s="260">
        <v>333.95</v>
      </c>
      <c r="G53" s="259">
        <v>3</v>
      </c>
      <c r="H53" s="286">
        <f t="shared" si="5"/>
        <v>1001.8499999999999</v>
      </c>
      <c r="I53" s="260">
        <f t="shared" si="6"/>
        <v>1001.8499999999999</v>
      </c>
      <c r="J53" s="260">
        <f t="shared" si="7"/>
        <v>1001.8499999999999</v>
      </c>
      <c r="K53" s="287"/>
      <c r="L53" s="161"/>
      <c r="M53" s="161"/>
    </row>
    <row r="54" spans="1:13" ht="15" customHeight="1">
      <c r="A54" s="917"/>
      <c r="B54" s="276" t="s">
        <v>348</v>
      </c>
      <c r="C54" s="257" t="s">
        <v>349</v>
      </c>
      <c r="D54" s="285">
        <v>7130820008</v>
      </c>
      <c r="E54" s="259" t="s">
        <v>125</v>
      </c>
      <c r="F54" s="260">
        <v>148.62</v>
      </c>
      <c r="G54" s="259">
        <v>6</v>
      </c>
      <c r="H54" s="286">
        <f t="shared" si="5"/>
        <v>891.72</v>
      </c>
      <c r="I54" s="260">
        <f t="shared" si="6"/>
        <v>891.72</v>
      </c>
      <c r="J54" s="308">
        <f t="shared" si="7"/>
        <v>891.72</v>
      </c>
      <c r="K54" s="287"/>
    </row>
    <row r="55" spans="1:13" ht="25.5">
      <c r="A55" s="917"/>
      <c r="B55" s="922" t="s">
        <v>350</v>
      </c>
      <c r="C55" s="309" t="s">
        <v>351</v>
      </c>
      <c r="D55" s="253"/>
      <c r="E55" s="254"/>
      <c r="F55" s="254"/>
      <c r="G55" s="254"/>
      <c r="H55" s="254"/>
      <c r="I55" s="254"/>
      <c r="J55" s="310"/>
      <c r="K55" s="256"/>
      <c r="L55" s="161"/>
    </row>
    <row r="56" spans="1:13" ht="15" customHeight="1">
      <c r="A56" s="917"/>
      <c r="B56" s="923"/>
      <c r="C56" s="311" t="s">
        <v>352</v>
      </c>
      <c r="D56" s="285"/>
      <c r="E56" s="312" t="s">
        <v>54</v>
      </c>
      <c r="F56" s="313">
        <f>H57+H58</f>
        <v>36663.840000000004</v>
      </c>
      <c r="G56" s="314">
        <v>18</v>
      </c>
      <c r="H56" s="315"/>
      <c r="I56" s="316"/>
      <c r="J56" s="260"/>
      <c r="K56" s="265"/>
      <c r="L56" s="161"/>
    </row>
    <row r="57" spans="1:13" ht="15" customHeight="1">
      <c r="A57" s="917"/>
      <c r="B57" s="923"/>
      <c r="C57" s="264" t="s">
        <v>353</v>
      </c>
      <c r="D57" s="285">
        <v>7130820013</v>
      </c>
      <c r="E57" s="317" t="s">
        <v>14</v>
      </c>
      <c r="F57" s="260">
        <v>204.36</v>
      </c>
      <c r="G57" s="318">
        <v>72</v>
      </c>
      <c r="H57" s="286">
        <f>G57*F57</f>
        <v>14713.920000000002</v>
      </c>
      <c r="I57" s="319">
        <f>G57*F57</f>
        <v>14713.920000000002</v>
      </c>
      <c r="J57" s="260">
        <f>G57*F57</f>
        <v>14713.920000000002</v>
      </c>
      <c r="K57" s="199"/>
      <c r="L57" s="161"/>
      <c r="M57" s="161"/>
    </row>
    <row r="58" spans="1:13" ht="15" customHeight="1">
      <c r="A58" s="917"/>
      <c r="B58" s="923"/>
      <c r="C58" s="264" t="s">
        <v>354</v>
      </c>
      <c r="D58" s="258">
        <v>7130820248</v>
      </c>
      <c r="E58" s="259" t="s">
        <v>125</v>
      </c>
      <c r="F58" s="260">
        <v>304.86</v>
      </c>
      <c r="G58" s="259">
        <v>72</v>
      </c>
      <c r="H58" s="286">
        <f>G58*F58</f>
        <v>21949.920000000002</v>
      </c>
      <c r="I58" s="319">
        <f>G58*F58</f>
        <v>21949.920000000002</v>
      </c>
      <c r="J58" s="260">
        <f>G58*F58</f>
        <v>21949.920000000002</v>
      </c>
      <c r="K58" s="277"/>
      <c r="L58" s="161"/>
      <c r="M58" s="161"/>
    </row>
    <row r="59" spans="1:13" ht="15" customHeight="1">
      <c r="A59" s="917"/>
      <c r="B59" s="923"/>
      <c r="C59" s="320" t="s">
        <v>355</v>
      </c>
      <c r="D59" s="285"/>
      <c r="E59" s="321" t="s">
        <v>54</v>
      </c>
      <c r="F59" s="263">
        <f>SUM(H60:H62)</f>
        <v>13714.44</v>
      </c>
      <c r="G59" s="322"/>
      <c r="H59" s="286"/>
      <c r="I59" s="319"/>
      <c r="J59" s="260"/>
      <c r="K59" s="277"/>
      <c r="L59" s="161"/>
      <c r="M59" s="161"/>
    </row>
    <row r="60" spans="1:13" ht="15" customHeight="1">
      <c r="A60" s="917"/>
      <c r="B60" s="923"/>
      <c r="C60" s="264" t="s">
        <v>356</v>
      </c>
      <c r="D60" s="285">
        <v>7130820010</v>
      </c>
      <c r="E60" s="259" t="s">
        <v>14</v>
      </c>
      <c r="F60" s="260">
        <v>126.83</v>
      </c>
      <c r="G60" s="259">
        <v>12</v>
      </c>
      <c r="H60" s="286">
        <f t="shared" ref="H60:H66" si="8">G60*F60</f>
        <v>1521.96</v>
      </c>
      <c r="I60" s="319">
        <f t="shared" ref="I60:I66" si="9">G60*F60</f>
        <v>1521.96</v>
      </c>
      <c r="J60" s="260">
        <f t="shared" ref="J60:J66" si="10">G60*F60</f>
        <v>1521.96</v>
      </c>
      <c r="K60" s="323"/>
      <c r="L60" s="161"/>
      <c r="M60" s="161"/>
    </row>
    <row r="61" spans="1:13" ht="15" customHeight="1">
      <c r="A61" s="917"/>
      <c r="B61" s="923"/>
      <c r="C61" s="264" t="s">
        <v>354</v>
      </c>
      <c r="D61" s="258">
        <v>7130820248</v>
      </c>
      <c r="E61" s="259" t="s">
        <v>14</v>
      </c>
      <c r="F61" s="260">
        <v>304.86</v>
      </c>
      <c r="G61" s="259">
        <v>12</v>
      </c>
      <c r="H61" s="286">
        <f t="shared" si="8"/>
        <v>3658.32</v>
      </c>
      <c r="I61" s="319">
        <f t="shared" si="9"/>
        <v>3658.32</v>
      </c>
      <c r="J61" s="260">
        <f t="shared" si="10"/>
        <v>3658.32</v>
      </c>
      <c r="K61" s="304"/>
      <c r="L61" s="161"/>
      <c r="M61" s="161"/>
    </row>
    <row r="62" spans="1:13" ht="15" customHeight="1">
      <c r="A62" s="917"/>
      <c r="B62" s="924"/>
      <c r="C62" s="264" t="s">
        <v>357</v>
      </c>
      <c r="D62" s="285">
        <v>7130810624</v>
      </c>
      <c r="E62" s="259" t="s">
        <v>14</v>
      </c>
      <c r="F62" s="260">
        <v>118.53</v>
      </c>
      <c r="G62" s="259">
        <v>72</v>
      </c>
      <c r="H62" s="286">
        <f t="shared" si="8"/>
        <v>8534.16</v>
      </c>
      <c r="I62" s="319">
        <f t="shared" si="9"/>
        <v>8534.16</v>
      </c>
      <c r="J62" s="260">
        <f t="shared" si="10"/>
        <v>8534.16</v>
      </c>
      <c r="K62" s="277"/>
      <c r="L62" s="161"/>
      <c r="M62" s="161"/>
    </row>
    <row r="63" spans="1:13" ht="25.5">
      <c r="A63" s="917"/>
      <c r="B63" s="324" t="s">
        <v>358</v>
      </c>
      <c r="C63" s="325" t="s">
        <v>359</v>
      </c>
      <c r="D63" s="326">
        <v>7130830585</v>
      </c>
      <c r="E63" s="327" t="s">
        <v>14</v>
      </c>
      <c r="F63" s="328">
        <v>350.63</v>
      </c>
      <c r="G63" s="327">
        <v>96</v>
      </c>
      <c r="H63" s="328">
        <f t="shared" si="8"/>
        <v>33660.479999999996</v>
      </c>
      <c r="I63" s="329">
        <f t="shared" si="9"/>
        <v>33660.479999999996</v>
      </c>
      <c r="J63" s="328">
        <f t="shared" si="10"/>
        <v>33660.479999999996</v>
      </c>
      <c r="K63" s="330"/>
      <c r="L63" s="161"/>
    </row>
    <row r="64" spans="1:13" ht="15" customHeight="1">
      <c r="A64" s="917"/>
      <c r="B64" s="331" t="s">
        <v>360</v>
      </c>
      <c r="C64" s="332" t="s">
        <v>361</v>
      </c>
      <c r="D64" s="333">
        <v>7130810692</v>
      </c>
      <c r="E64" s="334" t="s">
        <v>23</v>
      </c>
      <c r="F64" s="335">
        <v>447.87</v>
      </c>
      <c r="G64" s="336">
        <v>42</v>
      </c>
      <c r="H64" s="335">
        <f t="shared" si="8"/>
        <v>18810.54</v>
      </c>
      <c r="I64" s="329">
        <f t="shared" si="9"/>
        <v>18810.54</v>
      </c>
      <c r="J64" s="335">
        <f t="shared" si="10"/>
        <v>18810.54</v>
      </c>
      <c r="K64" s="304"/>
      <c r="L64" s="161"/>
    </row>
    <row r="65" spans="1:12" ht="15" customHeight="1">
      <c r="A65" s="917"/>
      <c r="B65" s="324" t="s">
        <v>362</v>
      </c>
      <c r="C65" s="337" t="s">
        <v>38</v>
      </c>
      <c r="D65" s="338">
        <v>7130211158</v>
      </c>
      <c r="E65" s="338" t="s">
        <v>39</v>
      </c>
      <c r="F65" s="335">
        <v>181.98</v>
      </c>
      <c r="G65" s="327">
        <v>6</v>
      </c>
      <c r="H65" s="335">
        <f t="shared" si="8"/>
        <v>1091.8799999999999</v>
      </c>
      <c r="I65" s="329">
        <f t="shared" si="9"/>
        <v>1091.8799999999999</v>
      </c>
      <c r="J65" s="335">
        <f t="shared" si="10"/>
        <v>1091.8799999999999</v>
      </c>
      <c r="K65" s="304"/>
      <c r="L65" s="161"/>
    </row>
    <row r="66" spans="1:12" ht="15" customHeight="1">
      <c r="A66" s="918"/>
      <c r="B66" s="324" t="s">
        <v>363</v>
      </c>
      <c r="C66" s="337" t="s">
        <v>40</v>
      </c>
      <c r="D66" s="338">
        <v>7130210809</v>
      </c>
      <c r="E66" s="338" t="s">
        <v>39</v>
      </c>
      <c r="F66" s="335">
        <v>406.6</v>
      </c>
      <c r="G66" s="327">
        <v>6</v>
      </c>
      <c r="H66" s="335">
        <f t="shared" si="8"/>
        <v>2439.6000000000004</v>
      </c>
      <c r="I66" s="329">
        <f t="shared" si="9"/>
        <v>2439.6000000000004</v>
      </c>
      <c r="J66" s="335">
        <f t="shared" si="10"/>
        <v>2439.6000000000004</v>
      </c>
      <c r="K66" s="304"/>
      <c r="L66" s="161"/>
    </row>
    <row r="67" spans="1:12" ht="15" customHeight="1">
      <c r="A67" s="916">
        <v>3</v>
      </c>
      <c r="B67" s="247"/>
      <c r="C67" s="339" t="s">
        <v>364</v>
      </c>
      <c r="D67" s="249"/>
      <c r="E67" s="249"/>
      <c r="F67" s="249"/>
      <c r="G67" s="249"/>
      <c r="H67" s="249"/>
      <c r="I67" s="249"/>
      <c r="J67" s="250"/>
      <c r="K67" s="251"/>
    </row>
    <row r="68" spans="1:12" ht="29.25" customHeight="1">
      <c r="A68" s="917"/>
      <c r="B68" s="270" t="s">
        <v>221</v>
      </c>
      <c r="C68" s="340" t="s">
        <v>365</v>
      </c>
      <c r="D68" s="290">
        <v>7130200202</v>
      </c>
      <c r="E68" s="336" t="s">
        <v>17</v>
      </c>
      <c r="F68" s="328">
        <v>2970</v>
      </c>
      <c r="G68" s="341">
        <f>8.6</f>
        <v>8.6</v>
      </c>
      <c r="H68" s="328">
        <f>G68*F68</f>
        <v>25542</v>
      </c>
      <c r="I68" s="328">
        <f>G68*F68</f>
        <v>25542</v>
      </c>
      <c r="J68" s="328">
        <f>G68*F68</f>
        <v>25542</v>
      </c>
      <c r="K68" s="342" t="s">
        <v>37</v>
      </c>
    </row>
    <row r="69" spans="1:12" ht="26.25" customHeight="1">
      <c r="A69" s="917"/>
      <c r="B69" s="270" t="s">
        <v>114</v>
      </c>
      <c r="C69" s="340" t="s">
        <v>366</v>
      </c>
      <c r="D69" s="290">
        <v>7130200202</v>
      </c>
      <c r="E69" s="336" t="s">
        <v>17</v>
      </c>
      <c r="F69" s="328">
        <v>2970</v>
      </c>
      <c r="G69" s="327">
        <f>15</f>
        <v>15</v>
      </c>
      <c r="H69" s="328">
        <f>G69*F69</f>
        <v>44550</v>
      </c>
      <c r="I69" s="343">
        <f>G69*F69</f>
        <v>44550</v>
      </c>
      <c r="J69" s="328">
        <f>G69*F69</f>
        <v>44550</v>
      </c>
      <c r="K69" s="342" t="s">
        <v>37</v>
      </c>
    </row>
    <row r="70" spans="1:12" ht="25.5">
      <c r="A70" s="917"/>
      <c r="B70" s="270" t="s">
        <v>116</v>
      </c>
      <c r="C70" s="293" t="s">
        <v>367</v>
      </c>
      <c r="D70" s="290">
        <v>7130200202</v>
      </c>
      <c r="E70" s="336" t="s">
        <v>17</v>
      </c>
      <c r="F70" s="328">
        <v>2970</v>
      </c>
      <c r="G70" s="327">
        <v>18</v>
      </c>
      <c r="H70" s="343">
        <f>G70*F70</f>
        <v>53460</v>
      </c>
      <c r="I70" s="343">
        <f>G70*F70</f>
        <v>53460</v>
      </c>
      <c r="J70" s="328">
        <f>G70*F70</f>
        <v>53460</v>
      </c>
      <c r="K70" s="342" t="s">
        <v>37</v>
      </c>
    </row>
    <row r="71" spans="1:12" ht="17.25" customHeight="1">
      <c r="A71" s="917"/>
      <c r="B71" s="344" t="s">
        <v>158</v>
      </c>
      <c r="C71" s="293" t="s">
        <v>368</v>
      </c>
      <c r="D71" s="290">
        <v>7130200202</v>
      </c>
      <c r="E71" s="336" t="s">
        <v>17</v>
      </c>
      <c r="F71" s="328">
        <v>2970</v>
      </c>
      <c r="G71" s="327">
        <v>7</v>
      </c>
      <c r="H71" s="343">
        <f>G71*F71</f>
        <v>20790</v>
      </c>
      <c r="I71" s="343">
        <f>G71*F71</f>
        <v>20790</v>
      </c>
      <c r="J71" s="328">
        <f>G71*F71</f>
        <v>20790</v>
      </c>
      <c r="K71" s="342" t="s">
        <v>37</v>
      </c>
    </row>
    <row r="72" spans="1:12" ht="15" customHeight="1">
      <c r="A72" s="917"/>
      <c r="B72" s="925" t="s">
        <v>123</v>
      </c>
      <c r="C72" s="345" t="s">
        <v>369</v>
      </c>
      <c r="D72" s="253"/>
      <c r="E72" s="254"/>
      <c r="F72" s="254"/>
      <c r="G72" s="254"/>
      <c r="H72" s="254"/>
      <c r="I72" s="254"/>
      <c r="J72" s="255"/>
      <c r="K72" s="256"/>
    </row>
    <row r="73" spans="1:12" ht="15" customHeight="1">
      <c r="A73" s="917"/>
      <c r="B73" s="923"/>
      <c r="C73" s="346" t="s">
        <v>370</v>
      </c>
      <c r="D73" s="285">
        <v>7130310658</v>
      </c>
      <c r="E73" s="259" t="s">
        <v>29</v>
      </c>
      <c r="F73" s="260">
        <v>204.44</v>
      </c>
      <c r="G73" s="259">
        <v>180</v>
      </c>
      <c r="H73" s="347">
        <f>G73*F73</f>
        <v>36799.199999999997</v>
      </c>
      <c r="I73" s="347">
        <f>G73*F73</f>
        <v>36799.199999999997</v>
      </c>
      <c r="J73" s="347">
        <f>G73*F73</f>
        <v>36799.199999999997</v>
      </c>
      <c r="K73" s="265"/>
    </row>
    <row r="74" spans="1:12" ht="15" customHeight="1">
      <c r="A74" s="917"/>
      <c r="B74" s="923"/>
      <c r="C74" s="346" t="s">
        <v>371</v>
      </c>
      <c r="D74" s="348">
        <v>7130310654</v>
      </c>
      <c r="E74" s="349" t="s">
        <v>29</v>
      </c>
      <c r="F74" s="260">
        <v>107.4</v>
      </c>
      <c r="G74" s="349">
        <f>360+120+240</f>
        <v>720</v>
      </c>
      <c r="H74" s="350">
        <f>G74*F74</f>
        <v>77328</v>
      </c>
      <c r="I74" s="350">
        <f>G74*F74</f>
        <v>77328</v>
      </c>
      <c r="J74" s="350">
        <f>G74*F74</f>
        <v>77328</v>
      </c>
      <c r="K74" s="351"/>
    </row>
    <row r="75" spans="1:12" ht="15" customHeight="1">
      <c r="A75" s="917"/>
      <c r="B75" s="924"/>
      <c r="C75" s="346" t="s">
        <v>372</v>
      </c>
      <c r="D75" s="348">
        <v>7130310652</v>
      </c>
      <c r="E75" s="349" t="s">
        <v>29</v>
      </c>
      <c r="F75" s="260">
        <v>61.25</v>
      </c>
      <c r="G75" s="349">
        <v>180</v>
      </c>
      <c r="H75" s="350">
        <f>G75*F75</f>
        <v>11025</v>
      </c>
      <c r="I75" s="350">
        <f>G75*F75</f>
        <v>11025</v>
      </c>
      <c r="J75" s="350">
        <f>G75*F75</f>
        <v>11025</v>
      </c>
      <c r="K75" s="351"/>
    </row>
    <row r="76" spans="1:12" ht="15" customHeight="1">
      <c r="A76" s="917"/>
      <c r="B76" s="925" t="s">
        <v>126</v>
      </c>
      <c r="C76" s="352" t="s">
        <v>373</v>
      </c>
      <c r="D76" s="353"/>
      <c r="E76" s="354"/>
      <c r="F76" s="355"/>
      <c r="G76" s="354"/>
      <c r="H76" s="356"/>
      <c r="I76" s="356"/>
      <c r="J76" s="356"/>
      <c r="K76" s="351"/>
    </row>
    <row r="77" spans="1:12" ht="41.25" customHeight="1">
      <c r="A77" s="917"/>
      <c r="B77" s="923"/>
      <c r="C77" s="357" t="s">
        <v>374</v>
      </c>
      <c r="D77" s="357"/>
      <c r="E77" s="358"/>
      <c r="F77" s="358"/>
      <c r="G77" s="358"/>
      <c r="H77" s="358"/>
      <c r="I77" s="358"/>
      <c r="J77" s="359"/>
      <c r="K77" s="360"/>
    </row>
    <row r="78" spans="1:12" ht="18.75" customHeight="1">
      <c r="A78" s="917"/>
      <c r="B78" s="923"/>
      <c r="C78" s="264" t="s">
        <v>248</v>
      </c>
      <c r="D78" s="301">
        <v>7130642041</v>
      </c>
      <c r="E78" s="349" t="s">
        <v>14</v>
      </c>
      <c r="F78" s="260">
        <v>5382.12</v>
      </c>
      <c r="G78" s="349">
        <v>9</v>
      </c>
      <c r="H78" s="350">
        <f t="shared" ref="H78:H84" si="11">G78*F78</f>
        <v>48439.08</v>
      </c>
      <c r="I78" s="350">
        <f t="shared" ref="I78:I84" si="12">G78*F78</f>
        <v>48439.08</v>
      </c>
      <c r="J78" s="350">
        <f t="shared" ref="J78:J84" si="13">G78*F78</f>
        <v>48439.08</v>
      </c>
      <c r="K78" s="302"/>
      <c r="L78" s="197"/>
    </row>
    <row r="79" spans="1:12" ht="40.5" customHeight="1">
      <c r="A79" s="917"/>
      <c r="B79" s="923"/>
      <c r="C79" s="340" t="s">
        <v>375</v>
      </c>
      <c r="D79" s="361">
        <v>7130642039</v>
      </c>
      <c r="E79" s="338" t="s">
        <v>14</v>
      </c>
      <c r="F79" s="260">
        <v>1058.93</v>
      </c>
      <c r="G79" s="338">
        <v>24</v>
      </c>
      <c r="H79" s="362">
        <f t="shared" si="11"/>
        <v>25414.32</v>
      </c>
      <c r="I79" s="362">
        <f t="shared" si="12"/>
        <v>25414.32</v>
      </c>
      <c r="J79" s="362">
        <f t="shared" si="13"/>
        <v>25414.32</v>
      </c>
      <c r="K79" s="363"/>
      <c r="L79" s="267"/>
    </row>
    <row r="80" spans="1:12" ht="15" customHeight="1">
      <c r="A80" s="917"/>
      <c r="B80" s="923"/>
      <c r="C80" s="337" t="s">
        <v>376</v>
      </c>
      <c r="D80" s="361">
        <v>7130600173</v>
      </c>
      <c r="E80" s="338" t="s">
        <v>17</v>
      </c>
      <c r="F80" s="260">
        <v>63.06</v>
      </c>
      <c r="G80" s="338">
        <v>400</v>
      </c>
      <c r="H80" s="362">
        <f t="shared" si="11"/>
        <v>25224</v>
      </c>
      <c r="I80" s="362">
        <f t="shared" si="12"/>
        <v>25224</v>
      </c>
      <c r="J80" s="364">
        <f t="shared" si="13"/>
        <v>25224</v>
      </c>
      <c r="K80" s="365"/>
      <c r="L80" s="204"/>
    </row>
    <row r="81" spans="1:13" ht="15" customHeight="1">
      <c r="A81" s="917"/>
      <c r="B81" s="923"/>
      <c r="C81" s="340" t="s">
        <v>251</v>
      </c>
      <c r="D81" s="361">
        <v>7130870043</v>
      </c>
      <c r="E81" s="338" t="s">
        <v>17</v>
      </c>
      <c r="F81" s="260">
        <v>87.81</v>
      </c>
      <c r="G81" s="338">
        <v>31</v>
      </c>
      <c r="H81" s="362">
        <f t="shared" si="11"/>
        <v>2722.11</v>
      </c>
      <c r="I81" s="362">
        <f t="shared" si="12"/>
        <v>2722.11</v>
      </c>
      <c r="J81" s="362">
        <f t="shared" si="13"/>
        <v>2722.11</v>
      </c>
      <c r="K81" s="365"/>
    </row>
    <row r="82" spans="1:13" ht="15" customHeight="1">
      <c r="A82" s="917"/>
      <c r="B82" s="923"/>
      <c r="C82" s="366" t="s">
        <v>252</v>
      </c>
      <c r="D82" s="361">
        <v>7130620133</v>
      </c>
      <c r="E82" s="338" t="s">
        <v>17</v>
      </c>
      <c r="F82" s="260">
        <v>113.09</v>
      </c>
      <c r="G82" s="338">
        <v>25</v>
      </c>
      <c r="H82" s="362">
        <f t="shared" si="11"/>
        <v>2827.25</v>
      </c>
      <c r="I82" s="362">
        <f t="shared" si="12"/>
        <v>2827.25</v>
      </c>
      <c r="J82" s="362">
        <f t="shared" si="13"/>
        <v>2827.25</v>
      </c>
      <c r="K82" s="365"/>
    </row>
    <row r="83" spans="1:13" ht="15" customHeight="1">
      <c r="A83" s="917"/>
      <c r="B83" s="923"/>
      <c r="C83" s="366" t="s">
        <v>253</v>
      </c>
      <c r="D83" s="361">
        <v>7130620140</v>
      </c>
      <c r="E83" s="338" t="s">
        <v>17</v>
      </c>
      <c r="F83" s="260">
        <v>113.09</v>
      </c>
      <c r="G83" s="338">
        <v>10</v>
      </c>
      <c r="H83" s="362">
        <f t="shared" si="11"/>
        <v>1130.9000000000001</v>
      </c>
      <c r="I83" s="362">
        <f t="shared" si="12"/>
        <v>1130.9000000000001</v>
      </c>
      <c r="J83" s="362">
        <f t="shared" si="13"/>
        <v>1130.9000000000001</v>
      </c>
      <c r="K83" s="365"/>
    </row>
    <row r="84" spans="1:13" ht="15" customHeight="1">
      <c r="A84" s="917"/>
      <c r="B84" s="924"/>
      <c r="C84" s="337" t="s">
        <v>254</v>
      </c>
      <c r="D84" s="361">
        <v>7130622922</v>
      </c>
      <c r="E84" s="338" t="s">
        <v>17</v>
      </c>
      <c r="F84" s="260">
        <v>185.92</v>
      </c>
      <c r="G84" s="338">
        <v>5</v>
      </c>
      <c r="H84" s="362">
        <f t="shared" si="11"/>
        <v>929.59999999999991</v>
      </c>
      <c r="I84" s="362">
        <f t="shared" si="12"/>
        <v>929.59999999999991</v>
      </c>
      <c r="J84" s="362">
        <f t="shared" si="13"/>
        <v>929.59999999999991</v>
      </c>
      <c r="K84" s="365"/>
    </row>
    <row r="85" spans="1:13" ht="15" customHeight="1">
      <c r="A85" s="917"/>
      <c r="B85" s="925" t="s">
        <v>129</v>
      </c>
      <c r="C85" s="289" t="s">
        <v>377</v>
      </c>
      <c r="D85" s="361"/>
      <c r="E85" s="338" t="s">
        <v>17</v>
      </c>
      <c r="F85" s="367"/>
      <c r="G85" s="368">
        <f>SUM(G86:G91)</f>
        <v>213</v>
      </c>
      <c r="H85" s="362"/>
      <c r="I85" s="362"/>
      <c r="J85" s="362"/>
      <c r="K85" s="365"/>
    </row>
    <row r="86" spans="1:13" ht="15" customHeight="1">
      <c r="A86" s="917"/>
      <c r="B86" s="923"/>
      <c r="C86" s="337" t="s">
        <v>378</v>
      </c>
      <c r="D86" s="361">
        <v>7130620609</v>
      </c>
      <c r="E86" s="368" t="s">
        <v>17</v>
      </c>
      <c r="F86" s="328">
        <v>81.75</v>
      </c>
      <c r="G86" s="368">
        <v>10</v>
      </c>
      <c r="H86" s="362">
        <f t="shared" ref="H86:H91" si="14">G86*F86</f>
        <v>817.5</v>
      </c>
      <c r="I86" s="362">
        <f t="shared" ref="I86:I91" si="15">G86*F86</f>
        <v>817.5</v>
      </c>
      <c r="J86" s="362">
        <f t="shared" ref="J86:J91" si="16">G86*F86</f>
        <v>817.5</v>
      </c>
      <c r="K86" s="365"/>
    </row>
    <row r="87" spans="1:13" ht="15" customHeight="1">
      <c r="A87" s="917"/>
      <c r="B87" s="923"/>
      <c r="C87" s="337" t="s">
        <v>379</v>
      </c>
      <c r="D87" s="361">
        <v>7130620614</v>
      </c>
      <c r="E87" s="368" t="s">
        <v>17</v>
      </c>
      <c r="F87" s="328">
        <v>80.39</v>
      </c>
      <c r="G87" s="368">
        <v>8</v>
      </c>
      <c r="H87" s="362">
        <f t="shared" si="14"/>
        <v>643.12</v>
      </c>
      <c r="I87" s="362">
        <f t="shared" si="15"/>
        <v>643.12</v>
      </c>
      <c r="J87" s="362">
        <f t="shared" si="16"/>
        <v>643.12</v>
      </c>
      <c r="K87" s="365"/>
    </row>
    <row r="88" spans="1:13" ht="15" customHeight="1">
      <c r="A88" s="917"/>
      <c r="B88" s="923"/>
      <c r="C88" s="337" t="s">
        <v>380</v>
      </c>
      <c r="D88" s="361">
        <v>7130620619</v>
      </c>
      <c r="E88" s="368" t="s">
        <v>17</v>
      </c>
      <c r="F88" s="328">
        <v>80.39</v>
      </c>
      <c r="G88" s="368">
        <v>25</v>
      </c>
      <c r="H88" s="362">
        <f t="shared" si="14"/>
        <v>2009.75</v>
      </c>
      <c r="I88" s="362">
        <f t="shared" si="15"/>
        <v>2009.75</v>
      </c>
      <c r="J88" s="362">
        <f t="shared" si="16"/>
        <v>2009.75</v>
      </c>
      <c r="K88" s="365"/>
    </row>
    <row r="89" spans="1:13" ht="15" customHeight="1">
      <c r="A89" s="917"/>
      <c r="B89" s="923"/>
      <c r="C89" s="337" t="s">
        <v>381</v>
      </c>
      <c r="D89" s="361">
        <v>7130620627</v>
      </c>
      <c r="E89" s="368" t="s">
        <v>17</v>
      </c>
      <c r="F89" s="328">
        <v>79.02</v>
      </c>
      <c r="G89" s="368">
        <v>70</v>
      </c>
      <c r="H89" s="362">
        <f t="shared" si="14"/>
        <v>5531.4</v>
      </c>
      <c r="I89" s="362">
        <f t="shared" si="15"/>
        <v>5531.4</v>
      </c>
      <c r="J89" s="362">
        <f t="shared" si="16"/>
        <v>5531.4</v>
      </c>
      <c r="K89" s="365"/>
    </row>
    <row r="90" spans="1:13" ht="15" customHeight="1">
      <c r="A90" s="917"/>
      <c r="B90" s="923"/>
      <c r="C90" s="337" t="s">
        <v>382</v>
      </c>
      <c r="D90" s="361">
        <v>7130620631</v>
      </c>
      <c r="E90" s="368" t="s">
        <v>17</v>
      </c>
      <c r="F90" s="328">
        <v>79.02</v>
      </c>
      <c r="G90" s="368">
        <v>80</v>
      </c>
      <c r="H90" s="362">
        <f t="shared" si="14"/>
        <v>6321.5999999999995</v>
      </c>
      <c r="I90" s="362">
        <f t="shared" si="15"/>
        <v>6321.5999999999995</v>
      </c>
      <c r="J90" s="362">
        <f t="shared" si="16"/>
        <v>6321.5999999999995</v>
      </c>
      <c r="K90" s="365"/>
    </row>
    <row r="91" spans="1:13" ht="15" customHeight="1">
      <c r="A91" s="918"/>
      <c r="B91" s="924"/>
      <c r="C91" s="337" t="s">
        <v>383</v>
      </c>
      <c r="D91" s="361">
        <v>7130620637</v>
      </c>
      <c r="E91" s="368" t="s">
        <v>17</v>
      </c>
      <c r="F91" s="328">
        <v>79.02</v>
      </c>
      <c r="G91" s="368">
        <v>20</v>
      </c>
      <c r="H91" s="362">
        <f t="shared" si="14"/>
        <v>1580.3999999999999</v>
      </c>
      <c r="I91" s="362">
        <f t="shared" si="15"/>
        <v>1580.3999999999999</v>
      </c>
      <c r="J91" s="362">
        <f t="shared" si="16"/>
        <v>1580.3999999999999</v>
      </c>
      <c r="K91" s="365"/>
    </row>
    <row r="92" spans="1:13" ht="27" customHeight="1">
      <c r="A92" s="369">
        <v>4</v>
      </c>
      <c r="B92" s="247"/>
      <c r="C92" s="252" t="s">
        <v>384</v>
      </c>
      <c r="D92" s="370"/>
      <c r="E92" s="371"/>
      <c r="F92" s="371"/>
      <c r="G92" s="371"/>
      <c r="H92" s="263">
        <f>SUM(H10:H91)</f>
        <v>3605260.1060000001</v>
      </c>
      <c r="I92" s="263">
        <f>SUM(I10:I91)</f>
        <v>6107878.7560000001</v>
      </c>
      <c r="J92" s="263">
        <f>SUM(J10:J91)</f>
        <v>7227682.2459999993</v>
      </c>
      <c r="K92" s="372"/>
      <c r="L92" s="373"/>
    </row>
    <row r="93" spans="1:13" ht="17.25" customHeight="1">
      <c r="A93" s="374">
        <v>5</v>
      </c>
      <c r="B93" s="375"/>
      <c r="C93" s="376" t="s">
        <v>385</v>
      </c>
      <c r="D93" s="377"/>
      <c r="E93" s="378"/>
      <c r="F93" s="371"/>
      <c r="G93" s="371"/>
      <c r="H93" s="263">
        <f>H92/1.18</f>
        <v>3055305.1745762713</v>
      </c>
      <c r="I93" s="263">
        <f>I92/1.18</f>
        <v>5176168.4372881362</v>
      </c>
      <c r="J93" s="263">
        <f>J92/1.18</f>
        <v>6125154.4457627116</v>
      </c>
      <c r="K93" s="379" t="s">
        <v>64</v>
      </c>
      <c r="L93" s="373"/>
    </row>
    <row r="94" spans="1:13" ht="15.75" customHeight="1">
      <c r="A94" s="327">
        <v>6</v>
      </c>
      <c r="B94" s="380"/>
      <c r="C94" s="306" t="s">
        <v>386</v>
      </c>
      <c r="D94" s="381"/>
      <c r="E94" s="381"/>
      <c r="F94" s="664">
        <v>7.4999999999999997E-2</v>
      </c>
      <c r="G94" s="297"/>
      <c r="H94" s="382">
        <f>H92*F94</f>
        <v>270394.50795</v>
      </c>
      <c r="I94" s="382">
        <f>I92*F94</f>
        <v>458090.90669999999</v>
      </c>
      <c r="J94" s="382">
        <f>J92*F94</f>
        <v>542076.16844999988</v>
      </c>
      <c r="K94" s="207" t="s">
        <v>66</v>
      </c>
      <c r="M94" s="208"/>
    </row>
    <row r="95" spans="1:13" ht="15.75" customHeight="1">
      <c r="A95" s="926">
        <v>7</v>
      </c>
      <c r="B95" s="928"/>
      <c r="C95" s="383" t="s">
        <v>387</v>
      </c>
      <c r="D95" s="384"/>
      <c r="E95" s="385" t="s">
        <v>136</v>
      </c>
      <c r="F95" s="665">
        <f>11658*1.0524*1.055*1.035</f>
        <v>13396.695920459997</v>
      </c>
      <c r="G95" s="386">
        <v>1</v>
      </c>
      <c r="H95" s="350">
        <f>G95*F95</f>
        <v>13396.695920459997</v>
      </c>
      <c r="I95" s="350">
        <f>G95*F95</f>
        <v>13396.695920459997</v>
      </c>
      <c r="J95" s="350">
        <f>G95*F95</f>
        <v>13396.695920459997</v>
      </c>
      <c r="K95" s="302" t="s">
        <v>388</v>
      </c>
    </row>
    <row r="96" spans="1:13" ht="15.75" customHeight="1">
      <c r="A96" s="926"/>
      <c r="B96" s="929"/>
      <c r="C96" s="383" t="s">
        <v>389</v>
      </c>
      <c r="D96" s="384"/>
      <c r="E96" s="209" t="s">
        <v>136</v>
      </c>
      <c r="F96" s="665">
        <f>13243.77975*1.2778*1.0524*1.055*1.035</f>
        <v>19446.814979541283</v>
      </c>
      <c r="G96" s="386">
        <v>1</v>
      </c>
      <c r="H96" s="350">
        <f t="shared" ref="H96:H102" si="17">F96*G96</f>
        <v>19446.814979541283</v>
      </c>
      <c r="I96" s="350">
        <f t="shared" ref="I96:I101" si="18">F96*G96</f>
        <v>19446.814979541283</v>
      </c>
      <c r="J96" s="350">
        <f>G96*F96</f>
        <v>19446.814979541283</v>
      </c>
      <c r="K96" s="387"/>
    </row>
    <row r="97" spans="1:13" ht="67.5" customHeight="1">
      <c r="A97" s="926"/>
      <c r="B97" s="929"/>
      <c r="C97" s="337" t="s">
        <v>130</v>
      </c>
      <c r="D97" s="384"/>
      <c r="E97" s="209" t="s">
        <v>70</v>
      </c>
      <c r="F97" s="663">
        <v>1200</v>
      </c>
      <c r="G97" s="386">
        <v>45</v>
      </c>
      <c r="H97" s="350">
        <f t="shared" si="17"/>
        <v>54000</v>
      </c>
      <c r="I97" s="350">
        <f>F97*G97</f>
        <v>54000</v>
      </c>
      <c r="J97" s="382">
        <f>F97*G97</f>
        <v>54000</v>
      </c>
      <c r="K97" s="177" t="s">
        <v>128</v>
      </c>
      <c r="L97" s="302"/>
    </row>
    <row r="98" spans="1:13" ht="14.25" customHeight="1">
      <c r="A98" s="926"/>
      <c r="B98" s="929"/>
      <c r="C98" s="337" t="s">
        <v>281</v>
      </c>
      <c r="D98" s="353"/>
      <c r="E98" s="338" t="s">
        <v>14</v>
      </c>
      <c r="F98" s="665">
        <f>11036.483*1.2778*1.0524*1.055*1.035</f>
        <v>16205.678966071051</v>
      </c>
      <c r="G98" s="386">
        <v>1</v>
      </c>
      <c r="H98" s="350">
        <f t="shared" si="17"/>
        <v>16205.678966071051</v>
      </c>
      <c r="I98" s="350">
        <f t="shared" si="18"/>
        <v>16205.678966071051</v>
      </c>
      <c r="J98" s="350">
        <f>G98*F98</f>
        <v>16205.678966071051</v>
      </c>
      <c r="K98" s="388"/>
    </row>
    <row r="99" spans="1:13" ht="15" customHeight="1">
      <c r="A99" s="926"/>
      <c r="B99" s="929"/>
      <c r="C99" s="284" t="s">
        <v>390</v>
      </c>
      <c r="D99" s="384"/>
      <c r="E99" s="209" t="s">
        <v>70</v>
      </c>
      <c r="F99" s="665">
        <f>3339.0378*1.2778*1.0524*1.055*1.035</f>
        <v>4902.9545591993538</v>
      </c>
      <c r="G99" s="349">
        <v>15</v>
      </c>
      <c r="H99" s="350">
        <f t="shared" si="17"/>
        <v>73544.318387990308</v>
      </c>
      <c r="I99" s="350">
        <f t="shared" si="18"/>
        <v>73544.318387990308</v>
      </c>
      <c r="J99" s="350">
        <f>G99*F99</f>
        <v>73544.318387990308</v>
      </c>
      <c r="K99" s="389"/>
    </row>
    <row r="100" spans="1:13" ht="26.25" customHeight="1">
      <c r="A100" s="926"/>
      <c r="B100" s="929"/>
      <c r="C100" s="284" t="s">
        <v>391</v>
      </c>
      <c r="D100" s="353"/>
      <c r="E100" s="390" t="s">
        <v>70</v>
      </c>
      <c r="F100" s="665">
        <f>3339.0378*1.2778*1.0524*1.055*1.035</f>
        <v>4902.9545591993538</v>
      </c>
      <c r="G100" s="349">
        <v>18</v>
      </c>
      <c r="H100" s="350">
        <f t="shared" si="17"/>
        <v>88253.182065588364</v>
      </c>
      <c r="I100" s="350">
        <f t="shared" si="18"/>
        <v>88253.182065588364</v>
      </c>
      <c r="J100" s="350">
        <f>G100*F100</f>
        <v>88253.182065588364</v>
      </c>
      <c r="K100" s="391"/>
    </row>
    <row r="101" spans="1:13" ht="27.75" customHeight="1">
      <c r="A101" s="926"/>
      <c r="B101" s="929"/>
      <c r="C101" s="284" t="s">
        <v>392</v>
      </c>
      <c r="D101" s="353"/>
      <c r="E101" s="390" t="s">
        <v>70</v>
      </c>
      <c r="F101" s="665">
        <f>3339.0378*1.2778*1.0524*1.055*1.035</f>
        <v>4902.9545591993538</v>
      </c>
      <c r="G101" s="349">
        <v>7</v>
      </c>
      <c r="H101" s="350">
        <f t="shared" si="17"/>
        <v>34320.681914395478</v>
      </c>
      <c r="I101" s="350">
        <f t="shared" si="18"/>
        <v>34320.681914395478</v>
      </c>
      <c r="J101" s="350">
        <f>G101*F101</f>
        <v>34320.681914395478</v>
      </c>
      <c r="K101" s="389"/>
    </row>
    <row r="102" spans="1:13" ht="28.5" customHeight="1">
      <c r="A102" s="927"/>
      <c r="B102" s="930"/>
      <c r="C102" s="284" t="s">
        <v>393</v>
      </c>
      <c r="D102" s="392"/>
      <c r="E102" s="209" t="s">
        <v>139</v>
      </c>
      <c r="F102" s="665">
        <v>2155</v>
      </c>
      <c r="G102" s="386">
        <v>45</v>
      </c>
      <c r="H102" s="350">
        <f t="shared" si="17"/>
        <v>96975</v>
      </c>
      <c r="I102" s="350">
        <f>F102*G102</f>
        <v>96975</v>
      </c>
      <c r="J102" s="350">
        <f>G102*F102</f>
        <v>96975</v>
      </c>
      <c r="K102" s="393"/>
    </row>
    <row r="103" spans="1:13" ht="15" customHeight="1">
      <c r="A103" s="931">
        <v>8</v>
      </c>
      <c r="B103" s="394"/>
      <c r="C103" s="352" t="s">
        <v>394</v>
      </c>
      <c r="D103" s="395"/>
      <c r="E103" s="396"/>
      <c r="F103" s="666"/>
      <c r="G103" s="396"/>
      <c r="H103" s="382">
        <f>SUM(H104:H106)</f>
        <v>255701.64689369945</v>
      </c>
      <c r="I103" s="382">
        <f>SUM(I104:I106)</f>
        <v>268742.64689369948</v>
      </c>
      <c r="J103" s="382">
        <f>SUM(J104:J106)</f>
        <v>280127.64689369948</v>
      </c>
      <c r="K103" s="351"/>
    </row>
    <row r="104" spans="1:13" ht="13.5" customHeight="1">
      <c r="A104" s="932"/>
      <c r="B104" s="397" t="s">
        <v>221</v>
      </c>
      <c r="C104" s="398" t="s">
        <v>395</v>
      </c>
      <c r="D104" s="399"/>
      <c r="E104" s="400"/>
      <c r="F104" s="667"/>
      <c r="G104" s="400"/>
      <c r="H104" s="401">
        <v>61065</v>
      </c>
      <c r="I104" s="401">
        <v>74106</v>
      </c>
      <c r="J104" s="401">
        <v>85491</v>
      </c>
      <c r="K104" s="351"/>
      <c r="L104" s="402"/>
    </row>
    <row r="105" spans="1:13" ht="27.75" customHeight="1">
      <c r="A105" s="932"/>
      <c r="B105" s="403" t="s">
        <v>114</v>
      </c>
      <c r="C105" s="404" t="s">
        <v>396</v>
      </c>
      <c r="D105" s="405"/>
      <c r="E105" s="406"/>
      <c r="F105" s="668"/>
      <c r="G105" s="406"/>
      <c r="H105" s="401">
        <f>36143.03+(4*31541.55)</f>
        <v>162309.22999999998</v>
      </c>
      <c r="I105" s="401">
        <f>+H105</f>
        <v>162309.22999999998</v>
      </c>
      <c r="J105" s="401">
        <f>+H105</f>
        <v>162309.22999999998</v>
      </c>
      <c r="K105" s="351"/>
      <c r="L105" s="402"/>
      <c r="M105" s="407"/>
    </row>
    <row r="106" spans="1:13" ht="18">
      <c r="A106" s="933"/>
      <c r="B106" s="408" t="s">
        <v>116</v>
      </c>
      <c r="C106" s="398" t="s">
        <v>69</v>
      </c>
      <c r="D106" s="405"/>
      <c r="E106" s="349" t="s">
        <v>70</v>
      </c>
      <c r="F106" s="663">
        <f>453*1.2778*1.0524*1.055*1.035</f>
        <v>665.17318711315784</v>
      </c>
      <c r="G106" s="349">
        <f>8.6+15+18+7</f>
        <v>48.6</v>
      </c>
      <c r="H106" s="382">
        <f>F106*G106</f>
        <v>32327.416893699472</v>
      </c>
      <c r="I106" s="382">
        <f>F106*G106</f>
        <v>32327.416893699472</v>
      </c>
      <c r="J106" s="382">
        <f>F106*G106</f>
        <v>32327.416893699472</v>
      </c>
      <c r="K106" s="304"/>
      <c r="L106" s="402"/>
      <c r="M106" s="407"/>
    </row>
    <row r="107" spans="1:13" ht="15" customHeight="1">
      <c r="A107" s="669">
        <v>9</v>
      </c>
      <c r="B107" s="336"/>
      <c r="C107" s="409" t="s">
        <v>496</v>
      </c>
      <c r="D107" s="399"/>
      <c r="E107" s="400"/>
      <c r="F107" s="400"/>
      <c r="G107" s="400"/>
      <c r="H107" s="612">
        <f>H93*0.04</f>
        <v>122212.20698305086</v>
      </c>
      <c r="I107" s="612">
        <f t="shared" ref="I107:J107" si="19">I93*0.04</f>
        <v>207046.73749152545</v>
      </c>
      <c r="J107" s="612">
        <f t="shared" si="19"/>
        <v>245006.17783050847</v>
      </c>
      <c r="K107" s="410"/>
      <c r="L107" s="153"/>
    </row>
    <row r="108" spans="1:13" ht="38.25">
      <c r="A108" s="411">
        <v>10</v>
      </c>
      <c r="B108" s="327"/>
      <c r="C108" s="306" t="s">
        <v>397</v>
      </c>
      <c r="D108" s="297"/>
      <c r="E108" s="349"/>
      <c r="F108" s="349"/>
      <c r="G108" s="349"/>
      <c r="H108" s="382">
        <f>(H92+H94+H95+H96+H97+H98+H99+H100+H101+H102+H103+H107)*0.125</f>
        <v>581213.85500759969</v>
      </c>
      <c r="I108" s="382">
        <f t="shared" ref="I108:J108" si="20">(I92+I94+I95+I96+I97+I98+I99+I100+I101+I102+I103+I107)*0.125</f>
        <v>929737.67741490901</v>
      </c>
      <c r="J108" s="382">
        <f t="shared" si="20"/>
        <v>1086379.3264260315</v>
      </c>
      <c r="K108" s="412"/>
      <c r="L108" s="153"/>
    </row>
    <row r="109" spans="1:13" ht="29.25" customHeight="1">
      <c r="A109" s="369">
        <v>11</v>
      </c>
      <c r="B109" s="413"/>
      <c r="C109" s="414" t="s">
        <v>398</v>
      </c>
      <c r="D109" s="353"/>
      <c r="E109" s="354"/>
      <c r="F109" s="354"/>
      <c r="G109" s="354"/>
      <c r="H109" s="415">
        <f>H93+H94+H95+H96+H97+H98+H99+H100+H101+H102+H103+H107+H108</f>
        <v>4680969.7636446683</v>
      </c>
      <c r="I109" s="415">
        <f t="shared" ref="I109:J109" si="21">I93+I94+I95+I96+I97+I98+I99+I100+I101+I102+I103+I107+I108</f>
        <v>7435928.7780223172</v>
      </c>
      <c r="J109" s="415">
        <f t="shared" si="21"/>
        <v>8674886.1375969984</v>
      </c>
      <c r="K109" s="416"/>
      <c r="L109" s="416"/>
      <c r="M109" s="416"/>
    </row>
    <row r="110" spans="1:13" ht="18" customHeight="1">
      <c r="A110" s="349">
        <v>12</v>
      </c>
      <c r="B110" s="413"/>
      <c r="C110" s="306" t="s">
        <v>399</v>
      </c>
      <c r="D110" s="353"/>
      <c r="E110" s="354"/>
      <c r="F110" s="349">
        <v>0.09</v>
      </c>
      <c r="G110" s="354"/>
      <c r="H110" s="382">
        <f>H109*F110</f>
        <v>421287.27872802014</v>
      </c>
      <c r="I110" s="382">
        <f>I109*F110</f>
        <v>669233.59002200852</v>
      </c>
      <c r="J110" s="382">
        <f>J109*F110</f>
        <v>780739.75238372979</v>
      </c>
      <c r="K110" s="416"/>
      <c r="L110" s="416"/>
      <c r="M110" s="416"/>
    </row>
    <row r="111" spans="1:13" ht="18" customHeight="1">
      <c r="A111" s="291">
        <v>13</v>
      </c>
      <c r="B111" s="247"/>
      <c r="C111" s="306" t="s">
        <v>400</v>
      </c>
      <c r="D111" s="417"/>
      <c r="E111" s="418"/>
      <c r="F111" s="349">
        <v>0.09</v>
      </c>
      <c r="G111" s="419"/>
      <c r="H111" s="260">
        <f>H109*F111</f>
        <v>421287.27872802014</v>
      </c>
      <c r="I111" s="260">
        <f>I109*F111</f>
        <v>669233.59002200852</v>
      </c>
      <c r="J111" s="260">
        <f>J109*F111</f>
        <v>780739.75238372979</v>
      </c>
      <c r="K111" s="420"/>
      <c r="L111" s="287"/>
      <c r="M111" s="287"/>
    </row>
    <row r="112" spans="1:13" ht="28.5" customHeight="1">
      <c r="A112" s="338">
        <v>14</v>
      </c>
      <c r="B112" s="421"/>
      <c r="C112" s="337" t="s">
        <v>401</v>
      </c>
      <c r="D112" s="422"/>
      <c r="E112" s="423"/>
      <c r="F112" s="424"/>
      <c r="G112" s="424"/>
      <c r="H112" s="425">
        <f>H109+H110+H111</f>
        <v>5523544.321100709</v>
      </c>
      <c r="I112" s="425">
        <f>I109+I110+I111</f>
        <v>8774395.9580663349</v>
      </c>
      <c r="J112" s="425">
        <f>J109+J110+J111</f>
        <v>10236365.642364457</v>
      </c>
      <c r="K112" s="426"/>
    </row>
    <row r="113" spans="1:13" ht="29.25" customHeight="1">
      <c r="A113" s="427">
        <v>15</v>
      </c>
      <c r="B113" s="421"/>
      <c r="C113" s="428" t="s">
        <v>402</v>
      </c>
      <c r="D113" s="422"/>
      <c r="E113" s="423"/>
      <c r="F113" s="423"/>
      <c r="G113" s="423"/>
      <c r="H113" s="429">
        <f>ROUND(H112,0)</f>
        <v>5523544</v>
      </c>
      <c r="I113" s="429">
        <f>ROUND(I112,0)</f>
        <v>8774396</v>
      </c>
      <c r="J113" s="429">
        <f>ROUND(J112,0)</f>
        <v>10236366</v>
      </c>
      <c r="K113" s="430"/>
      <c r="L113" s="153"/>
    </row>
    <row r="114" spans="1:13">
      <c r="C114" s="431"/>
      <c r="D114" s="432"/>
      <c r="E114" s="432"/>
      <c r="F114" s="432"/>
      <c r="G114" s="432"/>
      <c r="H114" s="432"/>
      <c r="I114" s="432"/>
      <c r="J114" s="432"/>
      <c r="K114" s="256"/>
    </row>
    <row r="115" spans="1:13">
      <c r="C115" s="431"/>
      <c r="D115" s="256"/>
      <c r="E115" s="256"/>
      <c r="F115" s="256"/>
      <c r="G115" s="256"/>
      <c r="H115" s="256"/>
      <c r="I115" s="256"/>
      <c r="J115" s="256"/>
      <c r="K115" s="256"/>
    </row>
    <row r="116" spans="1:13">
      <c r="C116" s="431"/>
      <c r="D116" s="256"/>
      <c r="E116" s="256"/>
      <c r="F116" s="256"/>
      <c r="G116" s="256"/>
      <c r="H116" s="256"/>
      <c r="I116" s="256"/>
      <c r="J116" s="256"/>
      <c r="K116" s="256"/>
    </row>
    <row r="117" spans="1:13" ht="15" customHeight="1">
      <c r="A117" s="433" t="s">
        <v>291</v>
      </c>
      <c r="B117" s="434"/>
      <c r="C117" s="915" t="s">
        <v>403</v>
      </c>
      <c r="D117" s="915"/>
      <c r="E117" s="915"/>
      <c r="F117" s="915"/>
      <c r="G117" s="435"/>
      <c r="H117" s="435"/>
      <c r="I117" s="436"/>
      <c r="J117" s="436"/>
      <c r="K117" s="437"/>
    </row>
    <row r="118" spans="1:13" ht="30" customHeight="1">
      <c r="A118" s="434"/>
      <c r="C118" s="915" t="s">
        <v>404</v>
      </c>
      <c r="D118" s="915"/>
      <c r="E118" s="915"/>
      <c r="F118" s="915"/>
      <c r="G118" s="435"/>
      <c r="H118" s="435"/>
      <c r="I118" s="436"/>
      <c r="J118" s="436"/>
      <c r="K118" s="437"/>
      <c r="L118" s="438"/>
      <c r="M118" s="438"/>
    </row>
    <row r="119" spans="1:13" ht="15.75" customHeight="1">
      <c r="A119" s="434"/>
      <c r="C119" s="437"/>
      <c r="D119" s="437"/>
      <c r="E119" s="437"/>
      <c r="F119" s="437"/>
      <c r="G119" s="437"/>
      <c r="H119" s="437"/>
      <c r="I119" s="436"/>
      <c r="J119" s="436"/>
      <c r="K119" s="437"/>
      <c r="L119" s="438"/>
      <c r="M119" s="438"/>
    </row>
    <row r="120" spans="1:13" ht="15.75" customHeight="1">
      <c r="A120" s="434"/>
      <c r="C120" s="437"/>
      <c r="D120" s="437"/>
      <c r="E120" s="437"/>
      <c r="F120" s="437"/>
      <c r="G120" s="437"/>
      <c r="H120" s="436"/>
      <c r="I120" s="436"/>
      <c r="J120" s="436"/>
      <c r="K120" s="437"/>
      <c r="L120" s="438"/>
      <c r="M120" s="438"/>
    </row>
    <row r="121" spans="1:13" ht="15.75" customHeight="1">
      <c r="A121" s="434"/>
      <c r="C121" s="437"/>
      <c r="D121" s="437"/>
      <c r="E121" s="437"/>
      <c r="F121" s="437"/>
      <c r="G121" s="437"/>
      <c r="H121" s="439"/>
      <c r="I121" s="439"/>
      <c r="J121" s="439"/>
      <c r="K121" s="437"/>
      <c r="L121" s="438"/>
      <c r="M121" s="438"/>
    </row>
    <row r="122" spans="1:13" ht="15.75" customHeight="1">
      <c r="A122" s="434"/>
      <c r="C122" s="437"/>
      <c r="D122" s="437"/>
      <c r="E122" s="437"/>
      <c r="F122" s="437"/>
      <c r="G122" s="437"/>
      <c r="H122" s="440"/>
      <c r="I122" s="440"/>
      <c r="J122" s="440"/>
      <c r="K122" s="437"/>
      <c r="L122" s="438"/>
      <c r="M122" s="438"/>
    </row>
    <row r="123" spans="1:13" ht="15.75" customHeight="1">
      <c r="A123" s="434"/>
      <c r="C123" s="437"/>
      <c r="D123" s="437"/>
      <c r="E123" s="437"/>
      <c r="F123" s="437"/>
      <c r="G123" s="437"/>
      <c r="H123" s="437"/>
      <c r="I123" s="437"/>
      <c r="J123" s="437"/>
      <c r="K123" s="437"/>
      <c r="L123" s="438"/>
      <c r="M123" s="438"/>
    </row>
    <row r="124" spans="1:13" ht="15.75" customHeight="1">
      <c r="A124" s="434"/>
      <c r="C124" s="437"/>
      <c r="D124" s="437"/>
      <c r="E124" s="437"/>
      <c r="F124" s="437"/>
      <c r="G124" s="437"/>
      <c r="H124" s="437"/>
      <c r="I124" s="437"/>
      <c r="J124" s="437"/>
      <c r="K124" s="437"/>
      <c r="L124" s="438"/>
      <c r="M124" s="438"/>
    </row>
    <row r="125" spans="1:13" ht="15.75" customHeight="1">
      <c r="A125" s="434"/>
      <c r="C125" s="437"/>
      <c r="D125" s="437"/>
      <c r="E125" s="437"/>
      <c r="F125" s="437"/>
      <c r="G125" s="437"/>
      <c r="H125" s="437"/>
      <c r="I125" s="437"/>
      <c r="J125" s="437"/>
      <c r="K125" s="437"/>
      <c r="L125" s="438"/>
      <c r="M125" s="438"/>
    </row>
    <row r="126" spans="1:13" ht="15.75" customHeight="1">
      <c r="A126" s="434"/>
      <c r="C126" s="437"/>
      <c r="D126" s="437"/>
      <c r="E126" s="437"/>
      <c r="F126" s="437"/>
      <c r="G126" s="437"/>
      <c r="H126" s="437"/>
      <c r="I126" s="437"/>
      <c r="J126" s="437"/>
      <c r="K126" s="437"/>
      <c r="L126" s="438"/>
      <c r="M126" s="438"/>
    </row>
    <row r="127" spans="1:13" ht="15.75" customHeight="1">
      <c r="A127" s="434"/>
      <c r="C127" s="437"/>
      <c r="D127" s="437"/>
      <c r="E127" s="437"/>
      <c r="F127" s="437"/>
      <c r="G127" s="437"/>
      <c r="H127" s="437"/>
      <c r="I127" s="437"/>
      <c r="J127" s="437"/>
      <c r="K127" s="437"/>
      <c r="L127" s="438"/>
      <c r="M127" s="438"/>
    </row>
    <row r="128" spans="1:13" ht="15.75" customHeight="1">
      <c r="A128" s="434"/>
      <c r="C128" s="437"/>
      <c r="D128" s="437"/>
      <c r="E128" s="437"/>
      <c r="F128" s="437"/>
      <c r="G128" s="437"/>
      <c r="H128" s="437"/>
      <c r="I128" s="437"/>
      <c r="J128" s="437"/>
      <c r="K128" s="437"/>
      <c r="L128" s="438"/>
      <c r="M128" s="438"/>
    </row>
    <row r="129" spans="1:13" ht="15.75" customHeight="1">
      <c r="A129" s="434"/>
      <c r="C129" s="437"/>
      <c r="D129" s="437"/>
      <c r="E129" s="437"/>
      <c r="F129" s="437"/>
      <c r="G129" s="437"/>
      <c r="H129" s="437"/>
      <c r="I129" s="437"/>
      <c r="J129" s="437"/>
      <c r="K129" s="437"/>
      <c r="L129" s="438"/>
      <c r="M129" s="438"/>
    </row>
    <row r="130" spans="1:13" ht="15.75" customHeight="1">
      <c r="A130" s="434"/>
      <c r="C130" s="437"/>
      <c r="D130" s="437"/>
      <c r="E130" s="437"/>
      <c r="F130" s="437"/>
      <c r="G130" s="437"/>
      <c r="H130" s="437"/>
      <c r="I130" s="437"/>
      <c r="J130" s="437"/>
      <c r="K130" s="437"/>
      <c r="L130" s="438"/>
      <c r="M130" s="438"/>
    </row>
    <row r="131" spans="1:13" ht="15.75" customHeight="1">
      <c r="A131" s="434"/>
      <c r="C131" s="437"/>
      <c r="D131" s="437"/>
      <c r="E131" s="437"/>
      <c r="F131" s="437"/>
      <c r="G131" s="437"/>
      <c r="H131" s="437"/>
      <c r="I131" s="437"/>
      <c r="J131" s="437"/>
      <c r="K131" s="437"/>
      <c r="L131" s="438"/>
      <c r="M131" s="438"/>
    </row>
    <row r="132" spans="1:13" ht="15.75" customHeight="1">
      <c r="A132" s="434"/>
      <c r="C132" s="437"/>
      <c r="D132" s="437"/>
      <c r="E132" s="437"/>
      <c r="F132" s="437"/>
      <c r="G132" s="437"/>
      <c r="H132" s="437"/>
      <c r="I132" s="437"/>
      <c r="J132" s="437"/>
      <c r="K132" s="437"/>
      <c r="L132" s="438"/>
      <c r="M132" s="438"/>
    </row>
    <row r="133" spans="1:13" ht="15.75" customHeight="1">
      <c r="A133" s="434"/>
      <c r="C133" s="437"/>
      <c r="D133" s="437"/>
      <c r="E133" s="437"/>
      <c r="F133" s="437"/>
      <c r="G133" s="437"/>
      <c r="H133" s="437"/>
      <c r="I133" s="437"/>
      <c r="J133" s="437"/>
      <c r="K133" s="437"/>
      <c r="L133" s="438"/>
      <c r="M133" s="438"/>
    </row>
    <row r="134" spans="1:13" ht="15.75" customHeight="1">
      <c r="A134" s="434"/>
      <c r="C134" s="437"/>
      <c r="D134" s="437"/>
      <c r="E134" s="437"/>
      <c r="F134" s="437"/>
      <c r="G134" s="437"/>
      <c r="H134" s="437"/>
      <c r="I134" s="437"/>
      <c r="J134" s="437"/>
      <c r="K134" s="437"/>
      <c r="L134" s="438"/>
      <c r="M134" s="438"/>
    </row>
    <row r="135" spans="1:13" ht="15.75" customHeight="1">
      <c r="A135" s="434"/>
      <c r="C135" s="437"/>
      <c r="D135" s="437"/>
      <c r="E135" s="437"/>
      <c r="F135" s="437"/>
      <c r="G135" s="437"/>
      <c r="H135" s="437"/>
      <c r="I135" s="437"/>
      <c r="J135" s="437"/>
      <c r="K135" s="437"/>
      <c r="L135" s="438"/>
      <c r="M135" s="438"/>
    </row>
    <row r="136" spans="1:13" ht="15.75" customHeight="1">
      <c r="A136" s="434"/>
      <c r="C136" s="437"/>
      <c r="D136" s="437"/>
      <c r="E136" s="437"/>
      <c r="F136" s="437"/>
      <c r="G136" s="437"/>
      <c r="H136" s="437"/>
      <c r="I136" s="437"/>
      <c r="J136" s="437"/>
      <c r="K136" s="437"/>
      <c r="L136" s="438"/>
      <c r="M136" s="438"/>
    </row>
    <row r="137" spans="1:13" ht="14.25">
      <c r="A137" s="441"/>
      <c r="B137" s="441"/>
      <c r="C137" s="441"/>
      <c r="D137" s="441"/>
      <c r="E137" s="441"/>
      <c r="F137" s="441"/>
      <c r="G137" s="441"/>
      <c r="H137" s="442"/>
      <c r="I137" s="442"/>
      <c r="J137" s="442"/>
      <c r="K137" s="441"/>
    </row>
    <row r="138" spans="1:13">
      <c r="A138" s="441"/>
      <c r="B138" s="441"/>
      <c r="C138" s="441"/>
      <c r="D138" s="441"/>
      <c r="E138" s="441"/>
      <c r="F138" s="441"/>
      <c r="G138" s="441"/>
      <c r="H138" s="441"/>
      <c r="I138" s="441"/>
      <c r="J138" s="441"/>
      <c r="K138" s="441"/>
    </row>
    <row r="139" spans="1:13" ht="14.25">
      <c r="A139" s="441"/>
      <c r="B139" s="441"/>
      <c r="C139" s="441"/>
      <c r="D139" s="441"/>
      <c r="E139" s="441"/>
      <c r="F139" s="441"/>
      <c r="G139" s="441"/>
      <c r="H139" s="237"/>
      <c r="I139" s="237"/>
      <c r="J139" s="237"/>
      <c r="K139" s="441"/>
    </row>
    <row r="140" spans="1:13">
      <c r="A140" s="441"/>
      <c r="B140" s="441"/>
      <c r="C140" s="441"/>
      <c r="D140" s="441"/>
      <c r="E140" s="441"/>
      <c r="F140" s="441"/>
      <c r="G140" s="441"/>
      <c r="H140" s="441"/>
      <c r="I140" s="441"/>
      <c r="J140" s="441"/>
      <c r="K140" s="441"/>
    </row>
    <row r="141" spans="1:13">
      <c r="A141" s="441"/>
      <c r="B141" s="441"/>
      <c r="C141" s="441"/>
      <c r="D141" s="441"/>
      <c r="E141" s="441"/>
      <c r="F141" s="441"/>
      <c r="G141" s="441"/>
      <c r="H141" s="441"/>
      <c r="I141" s="441"/>
      <c r="J141" s="441"/>
      <c r="K141" s="441"/>
    </row>
    <row r="142" spans="1:13">
      <c r="A142" s="441"/>
      <c r="B142" s="441"/>
      <c r="C142" s="441"/>
      <c r="D142" s="441"/>
      <c r="E142" s="441"/>
      <c r="F142" s="441"/>
      <c r="G142" s="441"/>
      <c r="H142" s="441"/>
      <c r="I142" s="441"/>
      <c r="J142" s="441"/>
      <c r="K142" s="441"/>
    </row>
    <row r="143" spans="1:13">
      <c r="A143" s="441"/>
      <c r="B143" s="441"/>
      <c r="C143" s="441"/>
      <c r="D143" s="441"/>
      <c r="E143" s="441"/>
      <c r="F143" s="441"/>
      <c r="G143" s="441"/>
      <c r="H143" s="441"/>
      <c r="I143" s="441"/>
      <c r="J143" s="441"/>
      <c r="K143" s="441"/>
    </row>
    <row r="144" spans="1:13">
      <c r="A144" s="441"/>
      <c r="B144" s="441"/>
      <c r="C144" s="441"/>
      <c r="D144" s="441"/>
      <c r="E144" s="441"/>
      <c r="F144" s="441"/>
      <c r="G144" s="441"/>
      <c r="H144" s="443"/>
      <c r="I144" s="441"/>
      <c r="J144" s="441"/>
      <c r="K144" s="441"/>
    </row>
    <row r="150" spans="3:5" ht="14.25">
      <c r="C150" s="178"/>
      <c r="D150" s="444"/>
      <c r="E150" s="445"/>
    </row>
    <row r="151" spans="3:5" ht="15.75">
      <c r="C151" s="446"/>
      <c r="D151" s="444"/>
      <c r="E151" s="445"/>
    </row>
  </sheetData>
  <mergeCells count="31">
    <mergeCell ref="D1:G1"/>
    <mergeCell ref="D2:G2"/>
    <mergeCell ref="I2:J2"/>
    <mergeCell ref="C3:H3"/>
    <mergeCell ref="A5:A6"/>
    <mergeCell ref="B5:B6"/>
    <mergeCell ref="C5:C6"/>
    <mergeCell ref="D5:D6"/>
    <mergeCell ref="E5:E6"/>
    <mergeCell ref="F5:F6"/>
    <mergeCell ref="G5:G6"/>
    <mergeCell ref="H5:J5"/>
    <mergeCell ref="B7:C7"/>
    <mergeCell ref="A8:A38"/>
    <mergeCell ref="B9:B12"/>
    <mergeCell ref="B13:B16"/>
    <mergeCell ref="B17:B20"/>
    <mergeCell ref="B21:B24"/>
    <mergeCell ref="C118:F118"/>
    <mergeCell ref="A39:A66"/>
    <mergeCell ref="B41:B43"/>
    <mergeCell ref="B44:B50"/>
    <mergeCell ref="B55:B62"/>
    <mergeCell ref="A67:A91"/>
    <mergeCell ref="B72:B75"/>
    <mergeCell ref="B76:B84"/>
    <mergeCell ref="B85:B91"/>
    <mergeCell ref="A95:A102"/>
    <mergeCell ref="B95:B102"/>
    <mergeCell ref="A103:A106"/>
    <mergeCell ref="C117:F117"/>
  </mergeCells>
  <conditionalFormatting sqref="C93">
    <cfRule type="cellIs" dxfId="8" priority="1" stopIfTrue="1" operator="equal">
      <formula>"?"</formula>
    </cfRule>
  </conditionalFormatting>
  <pageMargins left="0.92" right="0.15" top="0.75" bottom="0.32" header="0.5" footer="0.16"/>
  <pageSetup scale="9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IV66"/>
  <sheetViews>
    <sheetView zoomScaleSheetLayoutView="85" workbookViewId="0">
      <pane xSplit="3" ySplit="9" topLeftCell="D39" activePane="bottomRight" state="frozen"/>
      <selection activeCell="J57" sqref="J57"/>
      <selection pane="topRight" activeCell="J57" sqref="J57"/>
      <selection pane="bottomLeft" activeCell="J57" sqref="J57"/>
      <selection pane="bottomRight" activeCell="F53" sqref="F53"/>
    </sheetView>
  </sheetViews>
  <sheetFormatPr defaultRowHeight="12.75"/>
  <cols>
    <col min="1" max="1" width="5.140625" style="90" customWidth="1"/>
    <col min="2" max="2" width="3.5703125" style="94" customWidth="1"/>
    <col min="3" max="3" width="55.5703125" style="94" customWidth="1"/>
    <col min="4" max="4" width="13.140625" style="94" customWidth="1"/>
    <col min="5" max="5" width="6.28515625" style="90" customWidth="1"/>
    <col min="6" max="6" width="10.7109375" style="94" customWidth="1"/>
    <col min="7" max="7" width="6.28515625" style="94" customWidth="1"/>
    <col min="8" max="8" width="12.85546875" style="94" customWidth="1"/>
    <col min="9" max="9" width="26.42578125" style="94" customWidth="1"/>
    <col min="10" max="10" width="23.28515625" style="94" customWidth="1"/>
    <col min="11" max="11" width="12.140625" style="94" customWidth="1"/>
    <col min="12" max="12" width="5.140625" style="94" customWidth="1"/>
    <col min="13" max="13" width="14" style="94" customWidth="1"/>
    <col min="14" max="256" width="9.140625" style="94"/>
    <col min="257" max="16384" width="9.140625" style="494"/>
  </cols>
  <sheetData>
    <row r="1" spans="1:10" ht="18">
      <c r="A1" s="578"/>
      <c r="B1" s="448"/>
      <c r="C1" s="948" t="s">
        <v>424</v>
      </c>
      <c r="D1" s="948"/>
      <c r="E1" s="448"/>
      <c r="F1" s="448"/>
      <c r="G1" s="448"/>
      <c r="H1" s="448"/>
    </row>
    <row r="2" spans="1:10" ht="15">
      <c r="A2" s="578"/>
      <c r="B2" s="239"/>
      <c r="C2" s="958" t="s">
        <v>425</v>
      </c>
      <c r="D2" s="958"/>
      <c r="E2" s="958"/>
      <c r="F2" s="239"/>
      <c r="G2" s="239"/>
      <c r="H2" s="170" t="s">
        <v>493</v>
      </c>
    </row>
    <row r="3" spans="1:10" ht="10.5" customHeight="1">
      <c r="A3" s="579"/>
      <c r="B3" s="579"/>
      <c r="C3" s="579"/>
      <c r="D3" s="579"/>
      <c r="E3" s="579"/>
      <c r="F3" s="579"/>
      <c r="G3" s="579"/>
    </row>
    <row r="4" spans="1:10" ht="15">
      <c r="B4" s="580"/>
      <c r="C4" s="940" t="s">
        <v>426</v>
      </c>
      <c r="D4" s="940"/>
      <c r="E4" s="940"/>
      <c r="F4" s="940"/>
      <c r="G4" s="940"/>
      <c r="H4" s="581"/>
    </row>
    <row r="5" spans="1:10" ht="8.25" customHeight="1"/>
    <row r="6" spans="1:10" ht="15">
      <c r="A6" s="872" t="s">
        <v>105</v>
      </c>
      <c r="B6" s="949" t="s">
        <v>3</v>
      </c>
      <c r="C6" s="950"/>
      <c r="D6" s="953" t="s">
        <v>4</v>
      </c>
      <c r="E6" s="955" t="s">
        <v>5</v>
      </c>
      <c r="F6" s="955" t="s">
        <v>427</v>
      </c>
      <c r="G6" s="959" t="s">
        <v>428</v>
      </c>
      <c r="H6" s="959"/>
    </row>
    <row r="7" spans="1:10" ht="11.25" customHeight="1">
      <c r="A7" s="873"/>
      <c r="B7" s="951"/>
      <c r="C7" s="952"/>
      <c r="D7" s="954"/>
      <c r="E7" s="956"/>
      <c r="F7" s="957"/>
      <c r="G7" s="546" t="s">
        <v>302</v>
      </c>
      <c r="H7" s="546" t="s">
        <v>429</v>
      </c>
    </row>
    <row r="8" spans="1:10" ht="15" customHeight="1">
      <c r="A8" s="582">
        <v>1</v>
      </c>
      <c r="B8" s="946">
        <v>2</v>
      </c>
      <c r="C8" s="947"/>
      <c r="D8" s="582">
        <v>3</v>
      </c>
      <c r="E8" s="582">
        <v>4</v>
      </c>
      <c r="F8" s="582">
        <v>5</v>
      </c>
      <c r="G8" s="582">
        <v>6</v>
      </c>
      <c r="H8" s="583">
        <v>7</v>
      </c>
    </row>
    <row r="9" spans="1:10" ht="16.5" customHeight="1">
      <c r="A9" s="513">
        <v>1</v>
      </c>
      <c r="B9" s="569"/>
      <c r="C9" s="628" t="s">
        <v>430</v>
      </c>
      <c r="D9" s="555">
        <v>7130601958</v>
      </c>
      <c r="E9" s="537" t="s">
        <v>17</v>
      </c>
      <c r="F9" s="629">
        <v>62.81</v>
      </c>
      <c r="G9" s="630">
        <v>594</v>
      </c>
      <c r="H9" s="629">
        <f>G9*F9</f>
        <v>37309.14</v>
      </c>
    </row>
    <row r="10" spans="1:10" ht="28.5">
      <c r="A10" s="513">
        <v>2</v>
      </c>
      <c r="B10" s="569"/>
      <c r="C10" s="631" t="s">
        <v>431</v>
      </c>
      <c r="D10" s="555">
        <v>7130601965</v>
      </c>
      <c r="E10" s="537" t="s">
        <v>17</v>
      </c>
      <c r="F10" s="629">
        <v>62.4</v>
      </c>
      <c r="G10" s="537">
        <v>816.2</v>
      </c>
      <c r="H10" s="629">
        <f>G10*F10</f>
        <v>50930.880000000005</v>
      </c>
      <c r="J10" s="444"/>
    </row>
    <row r="11" spans="1:10" ht="30" customHeight="1">
      <c r="A11" s="513">
        <v>3</v>
      </c>
      <c r="B11" s="622"/>
      <c r="C11" s="556" t="s">
        <v>432</v>
      </c>
      <c r="D11" s="515">
        <v>7130810684</v>
      </c>
      <c r="E11" s="509" t="s">
        <v>54</v>
      </c>
      <c r="F11" s="516">
        <v>10516.35</v>
      </c>
      <c r="G11" s="509">
        <v>6</v>
      </c>
      <c r="H11" s="516">
        <f>G11*F11</f>
        <v>63098.100000000006</v>
      </c>
    </row>
    <row r="12" spans="1:10" ht="33" customHeight="1">
      <c r="A12" s="513">
        <v>4</v>
      </c>
      <c r="B12" s="622"/>
      <c r="C12" s="556" t="s">
        <v>433</v>
      </c>
      <c r="D12" s="515">
        <v>7130810517</v>
      </c>
      <c r="E12" s="509" t="s">
        <v>54</v>
      </c>
      <c r="F12" s="516">
        <v>6686.34</v>
      </c>
      <c r="G12" s="509">
        <v>2</v>
      </c>
      <c r="H12" s="516">
        <f>G12*F12</f>
        <v>13372.68</v>
      </c>
    </row>
    <row r="13" spans="1:10" ht="18" customHeight="1">
      <c r="A13" s="891">
        <v>5</v>
      </c>
      <c r="B13" s="187"/>
      <c r="C13" s="632" t="s">
        <v>434</v>
      </c>
      <c r="D13" s="630"/>
      <c r="E13" s="513" t="s">
        <v>54</v>
      </c>
      <c r="F13" s="629"/>
      <c r="G13" s="513">
        <v>21</v>
      </c>
      <c r="H13" s="629"/>
    </row>
    <row r="14" spans="1:10" ht="18" customHeight="1">
      <c r="A14" s="892"/>
      <c r="B14" s="532" t="s">
        <v>274</v>
      </c>
      <c r="C14" s="633" t="s">
        <v>435</v>
      </c>
      <c r="D14" s="555">
        <v>7130820010</v>
      </c>
      <c r="E14" s="537" t="s">
        <v>14</v>
      </c>
      <c r="F14" s="629">
        <v>126.83</v>
      </c>
      <c r="G14" s="537">
        <v>42</v>
      </c>
      <c r="H14" s="629">
        <f t="shared" ref="H14:H19" si="0">G14*F14</f>
        <v>5326.86</v>
      </c>
    </row>
    <row r="15" spans="1:10" ht="29.25" customHeight="1">
      <c r="A15" s="893"/>
      <c r="B15" s="532" t="s">
        <v>276</v>
      </c>
      <c r="C15" s="628" t="s">
        <v>436</v>
      </c>
      <c r="D15" s="555">
        <v>7130820248</v>
      </c>
      <c r="E15" s="537" t="s">
        <v>14</v>
      </c>
      <c r="F15" s="629">
        <v>304.86</v>
      </c>
      <c r="G15" s="537">
        <v>21</v>
      </c>
      <c r="H15" s="629">
        <f t="shared" si="0"/>
        <v>6402.06</v>
      </c>
    </row>
    <row r="16" spans="1:10" ht="15" customHeight="1">
      <c r="A16" s="513">
        <v>6</v>
      </c>
      <c r="B16" s="569"/>
      <c r="C16" s="634" t="s">
        <v>437</v>
      </c>
      <c r="D16" s="515">
        <v>7130820008</v>
      </c>
      <c r="E16" s="513" t="s">
        <v>125</v>
      </c>
      <c r="F16" s="516">
        <v>148.62</v>
      </c>
      <c r="G16" s="513">
        <v>3</v>
      </c>
      <c r="H16" s="516">
        <f t="shared" si="0"/>
        <v>445.86</v>
      </c>
    </row>
    <row r="17" spans="1:13" ht="29.25" customHeight="1">
      <c r="A17" s="513">
        <v>7</v>
      </c>
      <c r="B17" s="569"/>
      <c r="C17" s="634" t="s">
        <v>326</v>
      </c>
      <c r="D17" s="515">
        <v>7130840029</v>
      </c>
      <c r="E17" s="509" t="s">
        <v>125</v>
      </c>
      <c r="F17" s="516">
        <v>348.68</v>
      </c>
      <c r="G17" s="509">
        <v>3</v>
      </c>
      <c r="H17" s="516">
        <f t="shared" si="0"/>
        <v>1046.04</v>
      </c>
    </row>
    <row r="18" spans="1:13" ht="15.75" customHeight="1">
      <c r="A18" s="513">
        <v>8</v>
      </c>
      <c r="B18" s="569"/>
      <c r="C18" s="634" t="s">
        <v>438</v>
      </c>
      <c r="D18" s="515">
        <v>7131930663</v>
      </c>
      <c r="E18" s="509" t="s">
        <v>125</v>
      </c>
      <c r="F18" s="516">
        <v>24983.38</v>
      </c>
      <c r="G18" s="509">
        <v>2</v>
      </c>
      <c r="H18" s="516">
        <f t="shared" si="0"/>
        <v>49966.76</v>
      </c>
    </row>
    <row r="19" spans="1:13" ht="14.25">
      <c r="A19" s="513">
        <v>9</v>
      </c>
      <c r="B19" s="569"/>
      <c r="C19" s="634" t="s">
        <v>171</v>
      </c>
      <c r="D19" s="515">
        <v>7131930221</v>
      </c>
      <c r="E19" s="509" t="s">
        <v>125</v>
      </c>
      <c r="F19" s="516">
        <v>10230.879999999999</v>
      </c>
      <c r="G19" s="509">
        <v>1</v>
      </c>
      <c r="H19" s="516">
        <f t="shared" si="0"/>
        <v>10230.879999999999</v>
      </c>
    </row>
    <row r="20" spans="1:13" ht="25.5">
      <c r="A20" s="635">
        <v>10</v>
      </c>
      <c r="C20" s="636" t="s">
        <v>439</v>
      </c>
      <c r="D20" s="616">
        <v>7130200202</v>
      </c>
      <c r="E20" s="509" t="s">
        <v>70</v>
      </c>
      <c r="F20" s="516">
        <v>2970</v>
      </c>
      <c r="G20" s="509">
        <v>1.8</v>
      </c>
      <c r="H20" s="516">
        <f>G20*F20</f>
        <v>5346</v>
      </c>
      <c r="I20" s="463" t="s">
        <v>37</v>
      </c>
    </row>
    <row r="21" spans="1:13" ht="14.25">
      <c r="A21" s="537">
        <v>11</v>
      </c>
      <c r="B21" s="569"/>
      <c r="C21" s="634" t="s">
        <v>440</v>
      </c>
      <c r="D21" s="555">
        <v>7130830063</v>
      </c>
      <c r="E21" s="532" t="s">
        <v>29</v>
      </c>
      <c r="F21" s="629">
        <v>95.46</v>
      </c>
      <c r="G21" s="532">
        <v>50</v>
      </c>
      <c r="H21" s="629">
        <f>G21*F21</f>
        <v>4773</v>
      </c>
    </row>
    <row r="22" spans="1:13" ht="25.5" customHeight="1">
      <c r="A22" s="513">
        <v>12</v>
      </c>
      <c r="B22" s="622"/>
      <c r="C22" s="556" t="s">
        <v>441</v>
      </c>
      <c r="D22" s="515">
        <v>7130830585</v>
      </c>
      <c r="E22" s="509" t="s">
        <v>14</v>
      </c>
      <c r="F22" s="516">
        <v>350.63</v>
      </c>
      <c r="G22" s="509">
        <v>24</v>
      </c>
      <c r="H22" s="516">
        <f>G22*F22</f>
        <v>8415.119999999999</v>
      </c>
    </row>
    <row r="23" spans="1:13" ht="16.5" customHeight="1">
      <c r="A23" s="891">
        <v>13</v>
      </c>
      <c r="B23" s="569"/>
      <c r="C23" s="637" t="s">
        <v>442</v>
      </c>
      <c r="D23" s="630"/>
      <c r="E23" s="537" t="s">
        <v>14</v>
      </c>
      <c r="F23" s="638">
        <f>H24+H25+H26+H27</f>
        <v>222344.39</v>
      </c>
      <c r="G23" s="639">
        <v>1</v>
      </c>
      <c r="H23" s="629"/>
    </row>
    <row r="24" spans="1:13" ht="28.5" customHeight="1">
      <c r="A24" s="892"/>
      <c r="B24" s="509" t="s">
        <v>274</v>
      </c>
      <c r="C24" s="510" t="s">
        <v>443</v>
      </c>
      <c r="D24" s="525">
        <v>7131941762</v>
      </c>
      <c r="E24" s="509" t="s">
        <v>14</v>
      </c>
      <c r="F24" s="516">
        <v>149663.06</v>
      </c>
      <c r="G24" s="509">
        <v>1</v>
      </c>
      <c r="H24" s="516">
        <f>G24*F24</f>
        <v>149663.06</v>
      </c>
      <c r="J24" s="360"/>
      <c r="K24" s="185"/>
      <c r="L24" s="74"/>
      <c r="M24" s="410"/>
    </row>
    <row r="25" spans="1:13" ht="31.5" customHeight="1">
      <c r="A25" s="892"/>
      <c r="B25" s="509" t="s">
        <v>276</v>
      </c>
      <c r="C25" s="556" t="s">
        <v>444</v>
      </c>
      <c r="D25" s="525">
        <v>7131960008</v>
      </c>
      <c r="E25" s="509" t="s">
        <v>14</v>
      </c>
      <c r="F25" s="516">
        <v>25498.47</v>
      </c>
      <c r="G25" s="509">
        <v>1</v>
      </c>
      <c r="H25" s="516">
        <f>G25*F25</f>
        <v>25498.47</v>
      </c>
      <c r="J25" s="267"/>
      <c r="K25" s="185"/>
      <c r="L25" s="74"/>
      <c r="M25" s="410"/>
    </row>
    <row r="26" spans="1:13" ht="15" customHeight="1">
      <c r="A26" s="892"/>
      <c r="B26" s="509" t="s">
        <v>278</v>
      </c>
      <c r="C26" s="634" t="s">
        <v>445</v>
      </c>
      <c r="D26" s="515">
        <v>7132230188</v>
      </c>
      <c r="E26" s="509" t="s">
        <v>14</v>
      </c>
      <c r="F26" s="516">
        <v>14485.99</v>
      </c>
      <c r="G26" s="509">
        <v>3</v>
      </c>
      <c r="H26" s="516">
        <f>G26*F26</f>
        <v>43457.97</v>
      </c>
      <c r="J26" s="360"/>
      <c r="K26" s="185"/>
      <c r="L26" s="74"/>
      <c r="M26" s="410"/>
    </row>
    <row r="27" spans="1:13" ht="15" customHeight="1">
      <c r="A27" s="893"/>
      <c r="B27" s="622" t="s">
        <v>446</v>
      </c>
      <c r="C27" s="543" t="s">
        <v>217</v>
      </c>
      <c r="D27" s="515">
        <v>7130352046</v>
      </c>
      <c r="E27" s="542" t="s">
        <v>136</v>
      </c>
      <c r="F27" s="516">
        <v>3724.89</v>
      </c>
      <c r="G27" s="509">
        <v>1</v>
      </c>
      <c r="H27" s="516">
        <f>G27*F27</f>
        <v>3724.89</v>
      </c>
      <c r="J27" s="48"/>
      <c r="K27" s="185"/>
      <c r="L27" s="74"/>
      <c r="M27" s="410"/>
    </row>
    <row r="28" spans="1:13" ht="25.5">
      <c r="A28" s="635">
        <v>14</v>
      </c>
      <c r="B28" s="622"/>
      <c r="C28" s="634" t="s">
        <v>447</v>
      </c>
      <c r="D28" s="616">
        <v>7130200202</v>
      </c>
      <c r="E28" s="509" t="s">
        <v>70</v>
      </c>
      <c r="F28" s="516">
        <v>2970</v>
      </c>
      <c r="G28" s="509">
        <v>6</v>
      </c>
      <c r="H28" s="516">
        <f>G28*F28</f>
        <v>17820</v>
      </c>
      <c r="I28" s="463" t="s">
        <v>37</v>
      </c>
      <c r="J28" s="153"/>
    </row>
    <row r="29" spans="1:13" ht="16.5" customHeight="1">
      <c r="A29" s="891">
        <v>15</v>
      </c>
      <c r="B29" s="569"/>
      <c r="C29" s="640" t="s">
        <v>416</v>
      </c>
      <c r="D29" s="641"/>
      <c r="E29" s="642"/>
      <c r="F29" s="642"/>
      <c r="G29" s="642"/>
      <c r="H29" s="643"/>
    </row>
    <row r="30" spans="1:13" ht="27" customHeight="1">
      <c r="A30" s="892"/>
      <c r="B30" s="513" t="s">
        <v>203</v>
      </c>
      <c r="C30" s="634" t="s">
        <v>204</v>
      </c>
      <c r="D30" s="616">
        <v>7130310658</v>
      </c>
      <c r="E30" s="509" t="s">
        <v>29</v>
      </c>
      <c r="F30" s="516">
        <v>204.44</v>
      </c>
      <c r="G30" s="509">
        <v>60</v>
      </c>
      <c r="H30" s="516">
        <f>G30*F30</f>
        <v>12266.4</v>
      </c>
      <c r="J30" s="161"/>
      <c r="K30" s="161"/>
      <c r="L30" s="161"/>
      <c r="M30" s="161"/>
    </row>
    <row r="31" spans="1:13" ht="14.25">
      <c r="A31" s="892"/>
      <c r="B31" s="513" t="s">
        <v>206</v>
      </c>
      <c r="C31" s="634" t="s">
        <v>207</v>
      </c>
      <c r="D31" s="616">
        <v>7130310654</v>
      </c>
      <c r="E31" s="509" t="s">
        <v>29</v>
      </c>
      <c r="F31" s="516">
        <v>107.4</v>
      </c>
      <c r="G31" s="509">
        <v>120</v>
      </c>
      <c r="H31" s="516">
        <f>G31*F31</f>
        <v>12888</v>
      </c>
      <c r="J31" s="161"/>
      <c r="K31" s="161"/>
      <c r="L31" s="161"/>
      <c r="M31" s="161"/>
    </row>
    <row r="32" spans="1:13" ht="14.25">
      <c r="A32" s="893"/>
      <c r="B32" s="513" t="s">
        <v>208</v>
      </c>
      <c r="C32" s="634" t="s">
        <v>448</v>
      </c>
      <c r="D32" s="616">
        <v>7130310652</v>
      </c>
      <c r="E32" s="509" t="s">
        <v>29</v>
      </c>
      <c r="F32" s="516">
        <v>61.25</v>
      </c>
      <c r="G32" s="509">
        <v>60</v>
      </c>
      <c r="H32" s="516">
        <f>G32*F32</f>
        <v>3675</v>
      </c>
      <c r="J32" s="161"/>
      <c r="K32" s="161"/>
      <c r="L32" s="161"/>
      <c r="M32" s="161"/>
    </row>
    <row r="33" spans="1:13" ht="30">
      <c r="A33" s="894">
        <v>16</v>
      </c>
      <c r="B33" s="569"/>
      <c r="C33" s="617" t="s">
        <v>449</v>
      </c>
      <c r="D33" s="630"/>
      <c r="E33" s="509" t="s">
        <v>14</v>
      </c>
      <c r="F33" s="520">
        <f>+H34</f>
        <v>4078.56</v>
      </c>
      <c r="G33" s="97">
        <v>1</v>
      </c>
      <c r="H33" s="629"/>
      <c r="J33" s="584"/>
      <c r="K33" s="161"/>
      <c r="L33" s="161"/>
      <c r="M33" s="447"/>
    </row>
    <row r="34" spans="1:13" ht="14.25">
      <c r="A34" s="896"/>
      <c r="B34" s="622"/>
      <c r="C34" s="534" t="s">
        <v>186</v>
      </c>
      <c r="D34" s="616">
        <v>7131310033</v>
      </c>
      <c r="E34" s="509" t="s">
        <v>14</v>
      </c>
      <c r="F34" s="512">
        <v>4078.56</v>
      </c>
      <c r="G34" s="509">
        <v>1</v>
      </c>
      <c r="H34" s="516">
        <f>G34*F34</f>
        <v>4078.56</v>
      </c>
      <c r="J34" s="288"/>
      <c r="K34" s="288"/>
      <c r="L34" s="288"/>
      <c r="M34" s="265"/>
    </row>
    <row r="35" spans="1:13" ht="17.25" customHeight="1">
      <c r="A35" s="509">
        <v>17</v>
      </c>
      <c r="B35" s="622"/>
      <c r="C35" s="634" t="s">
        <v>450</v>
      </c>
      <c r="D35" s="616">
        <v>7132230412</v>
      </c>
      <c r="E35" s="509" t="s">
        <v>125</v>
      </c>
      <c r="F35" s="512">
        <v>41332.300000000003</v>
      </c>
      <c r="G35" s="509">
        <v>1</v>
      </c>
      <c r="H35" s="516">
        <f>G35*F35</f>
        <v>41332.300000000003</v>
      </c>
      <c r="J35" s="585"/>
      <c r="K35" s="586"/>
      <c r="L35" s="578"/>
      <c r="M35" s="265"/>
    </row>
    <row r="36" spans="1:13" ht="17.25" customHeight="1">
      <c r="A36" s="559">
        <v>18</v>
      </c>
      <c r="B36" s="622"/>
      <c r="C36" s="514" t="s">
        <v>38</v>
      </c>
      <c r="D36" s="537">
        <v>7130211158</v>
      </c>
      <c r="E36" s="537" t="s">
        <v>39</v>
      </c>
      <c r="F36" s="512">
        <v>181.98</v>
      </c>
      <c r="G36" s="509">
        <v>2</v>
      </c>
      <c r="H36" s="516">
        <f>G36*F36</f>
        <v>363.96</v>
      </c>
      <c r="I36" s="304"/>
      <c r="J36" s="585"/>
      <c r="K36" s="586"/>
      <c r="L36" s="578"/>
      <c r="M36" s="265"/>
    </row>
    <row r="37" spans="1:13" ht="16.5" customHeight="1">
      <c r="A37" s="559">
        <v>19</v>
      </c>
      <c r="B37" s="622"/>
      <c r="C37" s="514" t="s">
        <v>40</v>
      </c>
      <c r="D37" s="513">
        <v>7130210809</v>
      </c>
      <c r="E37" s="537" t="s">
        <v>39</v>
      </c>
      <c r="F37" s="512">
        <v>406.6</v>
      </c>
      <c r="G37" s="509">
        <v>2</v>
      </c>
      <c r="H37" s="516">
        <f>G37*F37</f>
        <v>813.2</v>
      </c>
      <c r="I37" s="304"/>
      <c r="J37" s="585"/>
      <c r="K37" s="586"/>
      <c r="L37" s="578"/>
      <c r="M37" s="265"/>
    </row>
    <row r="38" spans="1:13" ht="16.5" customHeight="1">
      <c r="A38" s="894">
        <v>20</v>
      </c>
      <c r="B38" s="569"/>
      <c r="C38" s="644" t="s">
        <v>451</v>
      </c>
      <c r="D38" s="630"/>
      <c r="E38" s="532" t="s">
        <v>17</v>
      </c>
      <c r="F38" s="527"/>
      <c r="G38" s="568">
        <f>SUM(G39:G44)</f>
        <v>30</v>
      </c>
      <c r="H38" s="629"/>
    </row>
    <row r="39" spans="1:13" ht="16.5" customHeight="1">
      <c r="A39" s="895"/>
      <c r="B39" s="509" t="s">
        <v>203</v>
      </c>
      <c r="C39" s="510" t="s">
        <v>378</v>
      </c>
      <c r="D39" s="616">
        <v>7130620609</v>
      </c>
      <c r="E39" s="509" t="s">
        <v>17</v>
      </c>
      <c r="F39" s="516">
        <v>81.75</v>
      </c>
      <c r="G39" s="509">
        <v>3</v>
      </c>
      <c r="H39" s="516">
        <f t="shared" ref="H39:H44" si="1">G39*F39</f>
        <v>245.25</v>
      </c>
    </row>
    <row r="40" spans="1:13" ht="14.25">
      <c r="A40" s="895"/>
      <c r="B40" s="509" t="s">
        <v>206</v>
      </c>
      <c r="C40" s="510" t="s">
        <v>379</v>
      </c>
      <c r="D40" s="616">
        <v>7130620614</v>
      </c>
      <c r="E40" s="509" t="s">
        <v>17</v>
      </c>
      <c r="F40" s="516">
        <v>80.39</v>
      </c>
      <c r="G40" s="509">
        <v>2</v>
      </c>
      <c r="H40" s="516">
        <f t="shared" si="1"/>
        <v>160.78</v>
      </c>
    </row>
    <row r="41" spans="1:13" ht="14.25">
      <c r="A41" s="895"/>
      <c r="B41" s="509" t="s">
        <v>208</v>
      </c>
      <c r="C41" s="510" t="s">
        <v>380</v>
      </c>
      <c r="D41" s="616">
        <v>7130620619</v>
      </c>
      <c r="E41" s="509" t="s">
        <v>17</v>
      </c>
      <c r="F41" s="516">
        <v>80.39</v>
      </c>
      <c r="G41" s="509">
        <v>2</v>
      </c>
      <c r="H41" s="516">
        <f t="shared" si="1"/>
        <v>160.78</v>
      </c>
    </row>
    <row r="42" spans="1:13" ht="14.25">
      <c r="A42" s="895"/>
      <c r="B42" s="509" t="s">
        <v>452</v>
      </c>
      <c r="C42" s="510" t="s">
        <v>381</v>
      </c>
      <c r="D42" s="616">
        <v>7130620627</v>
      </c>
      <c r="E42" s="509" t="s">
        <v>17</v>
      </c>
      <c r="F42" s="516">
        <v>79.02</v>
      </c>
      <c r="G42" s="509">
        <v>6</v>
      </c>
      <c r="H42" s="516">
        <f t="shared" si="1"/>
        <v>474.12</v>
      </c>
    </row>
    <row r="43" spans="1:13" ht="14.25">
      <c r="A43" s="895"/>
      <c r="B43" s="509" t="s">
        <v>453</v>
      </c>
      <c r="C43" s="510" t="s">
        <v>382</v>
      </c>
      <c r="D43" s="616">
        <v>7130620631</v>
      </c>
      <c r="E43" s="509" t="s">
        <v>17</v>
      </c>
      <c r="F43" s="516">
        <v>79.02</v>
      </c>
      <c r="G43" s="509">
        <v>15</v>
      </c>
      <c r="H43" s="516">
        <f t="shared" si="1"/>
        <v>1185.3</v>
      </c>
    </row>
    <row r="44" spans="1:13" ht="14.25">
      <c r="A44" s="896"/>
      <c r="B44" s="509" t="s">
        <v>454</v>
      </c>
      <c r="C44" s="510" t="s">
        <v>383</v>
      </c>
      <c r="D44" s="616">
        <v>7130620637</v>
      </c>
      <c r="E44" s="509" t="s">
        <v>17</v>
      </c>
      <c r="F44" s="516">
        <v>79.02</v>
      </c>
      <c r="G44" s="509">
        <v>2</v>
      </c>
      <c r="H44" s="516">
        <f t="shared" si="1"/>
        <v>158.04</v>
      </c>
    </row>
    <row r="45" spans="1:13" ht="15">
      <c r="A45" s="97">
        <v>21</v>
      </c>
      <c r="B45" s="577"/>
      <c r="C45" s="620" t="s">
        <v>62</v>
      </c>
      <c r="D45" s="568"/>
      <c r="E45" s="568"/>
      <c r="F45" s="645"/>
      <c r="G45" s="646"/>
      <c r="H45" s="520">
        <f>SUM(H9:H44)</f>
        <v>574629.46000000008</v>
      </c>
      <c r="I45" s="587"/>
      <c r="J45" s="208"/>
    </row>
    <row r="46" spans="1:13" ht="15">
      <c r="A46" s="621">
        <v>22</v>
      </c>
      <c r="B46" s="647"/>
      <c r="C46" s="620" t="s">
        <v>63</v>
      </c>
      <c r="D46" s="568"/>
      <c r="E46" s="568"/>
      <c r="F46" s="645"/>
      <c r="G46" s="648"/>
      <c r="H46" s="520">
        <f>H45/1.18</f>
        <v>486974.1186440679</v>
      </c>
      <c r="I46" s="48"/>
      <c r="J46" s="208"/>
    </row>
    <row r="47" spans="1:13" ht="14.25">
      <c r="A47" s="559">
        <v>23</v>
      </c>
      <c r="B47" s="649"/>
      <c r="C47" s="541" t="s">
        <v>65</v>
      </c>
      <c r="D47" s="650"/>
      <c r="E47" s="650"/>
      <c r="F47" s="509">
        <v>7.4999999999999997E-2</v>
      </c>
      <c r="G47" s="651"/>
      <c r="H47" s="512">
        <f>H45*F47</f>
        <v>43097.209500000004</v>
      </c>
      <c r="I47" s="588"/>
      <c r="J47" s="208"/>
    </row>
    <row r="48" spans="1:13" ht="14.25">
      <c r="A48" s="894">
        <v>24</v>
      </c>
      <c r="B48" s="509" t="s">
        <v>203</v>
      </c>
      <c r="C48" s="634" t="s">
        <v>455</v>
      </c>
      <c r="D48" s="652"/>
      <c r="E48" s="532" t="s">
        <v>14</v>
      </c>
      <c r="F48" s="653">
        <f>4155.58775057911*1.055*1.035</f>
        <v>4537.5901545510942</v>
      </c>
      <c r="G48" s="654">
        <v>1</v>
      </c>
      <c r="H48" s="653">
        <f>G48*F48</f>
        <v>4537.5901545510942</v>
      </c>
    </row>
    <row r="49" spans="1:12" ht="17.25" customHeight="1">
      <c r="A49" s="896"/>
      <c r="B49" s="509" t="s">
        <v>206</v>
      </c>
      <c r="C49" s="634" t="s">
        <v>393</v>
      </c>
      <c r="D49" s="652"/>
      <c r="E49" s="655" t="s">
        <v>139</v>
      </c>
      <c r="F49" s="512">
        <v>2155</v>
      </c>
      <c r="G49" s="656">
        <v>5</v>
      </c>
      <c r="H49" s="512">
        <f>G49*F49</f>
        <v>10775</v>
      </c>
      <c r="I49" s="589"/>
      <c r="J49" s="590"/>
      <c r="K49" s="590"/>
      <c r="L49" s="590"/>
    </row>
    <row r="50" spans="1:12" ht="15">
      <c r="A50" s="894">
        <v>25</v>
      </c>
      <c r="B50" s="509"/>
      <c r="C50" s="657" t="s">
        <v>456</v>
      </c>
      <c r="D50" s="652"/>
      <c r="E50" s="655"/>
      <c r="F50" s="512"/>
      <c r="G50" s="656"/>
      <c r="H50" s="520">
        <f>SUM(H51:H53)</f>
        <v>36729.90085948263</v>
      </c>
      <c r="I50" s="591"/>
      <c r="J50" s="591"/>
      <c r="K50" s="591"/>
      <c r="L50" s="591"/>
    </row>
    <row r="51" spans="1:12" ht="18" customHeight="1">
      <c r="A51" s="895"/>
      <c r="B51" s="509" t="s">
        <v>221</v>
      </c>
      <c r="C51" s="657" t="s">
        <v>457</v>
      </c>
      <c r="D51" s="509"/>
      <c r="E51" s="509"/>
      <c r="F51" s="658"/>
      <c r="G51" s="656"/>
      <c r="H51" s="512">
        <v>31541.55</v>
      </c>
      <c r="I51" s="402"/>
    </row>
    <row r="52" spans="1:12" ht="14.25">
      <c r="A52" s="895"/>
      <c r="B52" s="509" t="s">
        <v>114</v>
      </c>
      <c r="C52" s="634" t="s">
        <v>458</v>
      </c>
      <c r="D52" s="656"/>
      <c r="E52" s="532" t="s">
        <v>70</v>
      </c>
      <c r="F52" s="512">
        <f>609.17479416*1.055*1.035</f>
        <v>665.17318711315795</v>
      </c>
      <c r="G52" s="659">
        <v>1.8</v>
      </c>
      <c r="H52" s="512">
        <f>F52*G52</f>
        <v>1197.3117368036844</v>
      </c>
      <c r="I52" s="304"/>
    </row>
    <row r="53" spans="1:12" ht="14.25">
      <c r="A53" s="896"/>
      <c r="B53" s="509" t="s">
        <v>116</v>
      </c>
      <c r="C53" s="634" t="s">
        <v>459</v>
      </c>
      <c r="D53" s="656"/>
      <c r="E53" s="532" t="s">
        <v>70</v>
      </c>
      <c r="F53" s="512">
        <f>609.17479416*1.055*1.035</f>
        <v>665.17318711315795</v>
      </c>
      <c r="G53" s="517">
        <v>6</v>
      </c>
      <c r="H53" s="512">
        <f>F53*G53</f>
        <v>3991.0391226789479</v>
      </c>
      <c r="I53" s="304"/>
    </row>
    <row r="54" spans="1:12" ht="15.75" customHeight="1">
      <c r="A54" s="509">
        <v>26</v>
      </c>
      <c r="B54" s="650"/>
      <c r="C54" s="556" t="s">
        <v>494</v>
      </c>
      <c r="D54" s="660"/>
      <c r="E54" s="532"/>
      <c r="F54" s="661"/>
      <c r="G54" s="654"/>
      <c r="H54" s="512">
        <f>H46*0.04</f>
        <v>19478.964745762718</v>
      </c>
      <c r="I54" s="213" t="s">
        <v>128</v>
      </c>
      <c r="J54" s="592"/>
      <c r="L54" s="161"/>
    </row>
    <row r="55" spans="1:12" ht="28.5">
      <c r="A55" s="532">
        <v>27</v>
      </c>
      <c r="B55" s="650"/>
      <c r="C55" s="541" t="s">
        <v>460</v>
      </c>
      <c r="D55" s="660"/>
      <c r="E55" s="532"/>
      <c r="F55" s="661"/>
      <c r="G55" s="654"/>
      <c r="H55" s="512">
        <f>(H45+H47+H48+H49+H50+H54)*0.125</f>
        <v>86156.015657474563</v>
      </c>
      <c r="I55" s="212"/>
      <c r="J55" s="213"/>
      <c r="L55" s="161"/>
    </row>
    <row r="56" spans="1:12" ht="29.25" customHeight="1">
      <c r="A56" s="568">
        <v>28</v>
      </c>
      <c r="B56" s="650"/>
      <c r="C56" s="626" t="s">
        <v>461</v>
      </c>
      <c r="D56" s="660"/>
      <c r="E56" s="532"/>
      <c r="F56" s="661"/>
      <c r="G56" s="654"/>
      <c r="H56" s="520">
        <f>H46+H47+H48+H49+H50+H54+H55</f>
        <v>687748.79956133885</v>
      </c>
      <c r="I56" s="593"/>
      <c r="J56" s="153"/>
      <c r="L56" s="578"/>
    </row>
    <row r="57" spans="1:12" ht="32.25" customHeight="1">
      <c r="A57" s="532">
        <v>29</v>
      </c>
      <c r="B57" s="650"/>
      <c r="C57" s="541" t="s">
        <v>73</v>
      </c>
      <c r="D57" s="660"/>
      <c r="E57" s="532"/>
      <c r="F57" s="512">
        <v>0.09</v>
      </c>
      <c r="G57" s="654"/>
      <c r="H57" s="512">
        <f>H56*F57</f>
        <v>61897.391960520494</v>
      </c>
      <c r="I57" s="593"/>
      <c r="J57" s="153"/>
      <c r="L57" s="578"/>
    </row>
    <row r="58" spans="1:12" ht="14.25">
      <c r="A58" s="532">
        <v>30</v>
      </c>
      <c r="B58" s="650"/>
      <c r="C58" s="541" t="s">
        <v>74</v>
      </c>
      <c r="D58" s="660"/>
      <c r="E58" s="532"/>
      <c r="F58" s="512">
        <v>0.09</v>
      </c>
      <c r="G58" s="656"/>
      <c r="H58" s="512">
        <f>H56*F58</f>
        <v>61897.391960520494</v>
      </c>
      <c r="I58" s="199"/>
      <c r="L58" s="578"/>
    </row>
    <row r="59" spans="1:12" ht="16.5" customHeight="1">
      <c r="A59" s="509">
        <v>31</v>
      </c>
      <c r="B59" s="622"/>
      <c r="C59" s="541" t="s">
        <v>75</v>
      </c>
      <c r="D59" s="654"/>
      <c r="E59" s="532"/>
      <c r="F59" s="650"/>
      <c r="G59" s="654"/>
      <c r="H59" s="512">
        <f>H56+H57+H58</f>
        <v>811543.58348237991</v>
      </c>
    </row>
    <row r="60" spans="1:12" ht="16.5" customHeight="1">
      <c r="A60" s="97">
        <v>32</v>
      </c>
      <c r="B60" s="627"/>
      <c r="C60" s="626" t="s">
        <v>76</v>
      </c>
      <c r="D60" s="97"/>
      <c r="E60" s="97"/>
      <c r="F60" s="627"/>
      <c r="G60" s="97"/>
      <c r="H60" s="520">
        <f>ROUND(H59,0)</f>
        <v>811544</v>
      </c>
    </row>
    <row r="61" spans="1:12" ht="15" customHeight="1">
      <c r="A61" s="452"/>
      <c r="B61" s="594"/>
      <c r="C61" s="447"/>
      <c r="D61" s="595"/>
      <c r="E61" s="595"/>
      <c r="F61" s="596"/>
      <c r="G61" s="595"/>
      <c r="H61" s="597"/>
    </row>
    <row r="62" spans="1:12" ht="18" customHeight="1">
      <c r="A62" s="945" t="s">
        <v>462</v>
      </c>
      <c r="B62" s="945"/>
      <c r="C62" s="598" t="s">
        <v>79</v>
      </c>
      <c r="D62" s="599"/>
      <c r="E62" s="600"/>
    </row>
    <row r="63" spans="1:12">
      <c r="D63" s="90"/>
    </row>
    <row r="65" spans="1:10" ht="15">
      <c r="A65" s="493"/>
      <c r="B65" s="493"/>
      <c r="C65" s="493"/>
      <c r="J65" s="601"/>
    </row>
    <row r="66" spans="1:10" ht="15">
      <c r="A66" s="493"/>
      <c r="B66" s="493"/>
      <c r="C66" s="493"/>
    </row>
  </sheetData>
  <mergeCells count="18">
    <mergeCell ref="C1:D1"/>
    <mergeCell ref="C4:G4"/>
    <mergeCell ref="A6:A7"/>
    <mergeCell ref="B6:C7"/>
    <mergeCell ref="D6:D7"/>
    <mergeCell ref="E6:E7"/>
    <mergeCell ref="F6:F7"/>
    <mergeCell ref="C2:E2"/>
    <mergeCell ref="G6:H6"/>
    <mergeCell ref="A48:A49"/>
    <mergeCell ref="A50:A53"/>
    <mergeCell ref="A62:B62"/>
    <mergeCell ref="B8:C8"/>
    <mergeCell ref="A13:A15"/>
    <mergeCell ref="A23:A27"/>
    <mergeCell ref="A29:A32"/>
    <mergeCell ref="A33:A34"/>
    <mergeCell ref="A38:A44"/>
  </mergeCells>
  <conditionalFormatting sqref="C45">
    <cfRule type="cellIs" dxfId="7" priority="2" stopIfTrue="1" operator="equal">
      <formula>"?"</formula>
    </cfRule>
  </conditionalFormatting>
  <conditionalFormatting sqref="C46">
    <cfRule type="cellIs" dxfId="6" priority="1" stopIfTrue="1" operator="equal">
      <formula>"?"</formula>
    </cfRule>
  </conditionalFormatting>
  <printOptions horizontalCentered="1"/>
  <pageMargins left="1" right="0.15" top="0.72" bottom="0.41" header="0.55000000000000004" footer="0.23"/>
  <pageSetup paperSize="9" scale="1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A-6</vt:lpstr>
      <vt:lpstr>A-1</vt:lpstr>
      <vt:lpstr>A-3</vt:lpstr>
      <vt:lpstr>A-3 (A)</vt:lpstr>
      <vt:lpstr>A-4</vt:lpstr>
      <vt:lpstr>A-11</vt:lpstr>
      <vt:lpstr>B-1</vt:lpstr>
      <vt:lpstr>B-3</vt:lpstr>
      <vt:lpstr>B-4</vt:lpstr>
      <vt:lpstr>B-5</vt:lpstr>
      <vt:lpstr>B-8</vt:lpstr>
      <vt:lpstr>'A-1'!Print_Titles</vt:lpstr>
      <vt:lpstr>'A-11'!Print_Titles</vt:lpstr>
      <vt:lpstr>'A-3'!Print_Titles</vt:lpstr>
      <vt:lpstr>'A-3 (A)'!Print_Titles</vt:lpstr>
      <vt:lpstr>'A-4'!Print_Titles</vt:lpstr>
      <vt:lpstr>'A-6'!Print_Titles</vt:lpstr>
      <vt:lpstr>'B-1'!Print_Titles</vt:lpstr>
      <vt:lpstr>'B-3'!Print_Titles</vt:lpstr>
      <vt:lpstr>'B-4'!Print_Titles</vt:lpstr>
      <vt:lpstr>'B-5'!Print_Titles</vt:lpstr>
      <vt:lpstr>'B-8'!Print_Titles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Kanchan Mahesh Thakur</dc:creator>
  <cp:lastModifiedBy>Kanchan Mahesh Thakur</cp:lastModifiedBy>
  <dcterms:created xsi:type="dcterms:W3CDTF">2022-04-05T10:33:24Z</dcterms:created>
  <dcterms:modified xsi:type="dcterms:W3CDTF">2022-04-12T08:12:51Z</dcterms:modified>
</cp:coreProperties>
</file>